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publications\BMCS_Software\GCI_study\"/>
    </mc:Choice>
  </mc:AlternateContent>
  <xr:revisionPtr revIDLastSave="0" documentId="13_ncr:1_{111CB69B-4C72-41B8-938F-BF7DF9FDD715}" xr6:coauthVersionLast="45" xr6:coauthVersionMax="45" xr10:uidLastSave="{00000000-0000-0000-0000-000000000000}"/>
  <bookViews>
    <workbookView xWindow="-108" yWindow="-108" windowWidth="23256" windowHeight="12576" activeTab="7" xr2:uid="{CF47BA90-6E50-42FF-827C-227B611E9B87}"/>
  </bookViews>
  <sheets>
    <sheet name="GCI_1" sheetId="1" r:id="rId1"/>
    <sheet name="GCI_2" sheetId="3" r:id="rId2"/>
    <sheet name="Sheet1" sheetId="6" r:id="rId3"/>
    <sheet name="Sheet3" sheetId="7" r:id="rId4"/>
    <sheet name="Sheet4" sheetId="4" r:id="rId5"/>
    <sheet name="flowratecalcs" sheetId="5" r:id="rId6"/>
    <sheet name="Sheet2" sheetId="2" r:id="rId7"/>
    <sheet name="GCI3_0116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7" i="6" l="1"/>
  <c r="N56" i="6"/>
  <c r="N55" i="6"/>
  <c r="N54" i="6"/>
  <c r="N53" i="6"/>
  <c r="J16" i="6"/>
  <c r="J61" i="6"/>
  <c r="J57" i="6"/>
  <c r="J56" i="6"/>
  <c r="J55" i="6"/>
  <c r="J58" i="6" s="1"/>
  <c r="J54" i="6"/>
  <c r="J53" i="6"/>
  <c r="J52" i="6"/>
  <c r="J51" i="6"/>
  <c r="J50" i="6"/>
  <c r="J49" i="6"/>
  <c r="B11" i="6"/>
  <c r="B13" i="6"/>
  <c r="B12" i="6"/>
  <c r="B14" i="6"/>
  <c r="B15" i="6"/>
  <c r="F15" i="6"/>
  <c r="F12" i="6"/>
  <c r="F13" i="6"/>
  <c r="F11" i="6"/>
  <c r="N11" i="6"/>
  <c r="N13" i="6"/>
  <c r="N12" i="6"/>
  <c r="N14" i="6"/>
  <c r="J12" i="6"/>
  <c r="J13" i="6"/>
  <c r="J11" i="6"/>
  <c r="J17" i="6" s="1"/>
  <c r="F28" i="6" s="1"/>
  <c r="K41" i="6"/>
  <c r="N37" i="6"/>
  <c r="K37" i="6"/>
  <c r="K35" i="6"/>
  <c r="K36" i="6" s="1"/>
  <c r="K34" i="6"/>
  <c r="F33" i="6"/>
  <c r="B33" i="6"/>
  <c r="N28" i="6"/>
  <c r="K28" i="6"/>
  <c r="K27" i="6"/>
  <c r="F22" i="6"/>
  <c r="F17" i="6"/>
  <c r="F29" i="6" s="1"/>
  <c r="N10" i="6"/>
  <c r="N26" i="6" s="1"/>
  <c r="F10" i="6"/>
  <c r="B23" i="6" s="1"/>
  <c r="B10" i="6"/>
  <c r="B24" i="6" s="1"/>
  <c r="J9" i="6"/>
  <c r="J10" i="6" s="1"/>
  <c r="F9" i="6"/>
  <c r="N32" i="3"/>
  <c r="C56" i="3"/>
  <c r="C55" i="3"/>
  <c r="C54" i="3"/>
  <c r="C53" i="3"/>
  <c r="C52" i="3"/>
  <c r="C48" i="3"/>
  <c r="C49" i="3"/>
  <c r="C50" i="3"/>
  <c r="C51" i="3"/>
  <c r="C47" i="3"/>
  <c r="B47" i="3"/>
  <c r="B56" i="3"/>
  <c r="B55" i="3"/>
  <c r="B53" i="3"/>
  <c r="B54" i="3"/>
  <c r="B52" i="3"/>
  <c r="B48" i="3"/>
  <c r="B49" i="3"/>
  <c r="B50" i="3"/>
  <c r="B51" i="3"/>
  <c r="B38" i="3"/>
  <c r="N43" i="3"/>
  <c r="F16" i="3"/>
  <c r="N33" i="3" s="1"/>
  <c r="B29" i="3"/>
  <c r="B27" i="3"/>
  <c r="N31" i="3"/>
  <c r="N28" i="3"/>
  <c r="N30" i="3" s="1"/>
  <c r="N27" i="3"/>
  <c r="N29" i="3" s="1"/>
  <c r="N26" i="3"/>
  <c r="N37" i="3"/>
  <c r="N16" i="3"/>
  <c r="K37" i="3"/>
  <c r="K35" i="3"/>
  <c r="K34" i="3"/>
  <c r="K28" i="3"/>
  <c r="K27" i="3"/>
  <c r="N11" i="3"/>
  <c r="N13" i="3"/>
  <c r="N12" i="3"/>
  <c r="N14" i="3"/>
  <c r="N15" i="3"/>
  <c r="J59" i="6" l="1"/>
  <c r="J62" i="6" s="1"/>
  <c r="J60" i="6"/>
  <c r="J63" i="6"/>
  <c r="B16" i="6"/>
  <c r="B29" i="6" s="1"/>
  <c r="B51" i="6" s="1"/>
  <c r="N17" i="6"/>
  <c r="F27" i="6" s="1"/>
  <c r="F30" i="6" s="1"/>
  <c r="F23" i="6"/>
  <c r="F25" i="6" s="1"/>
  <c r="B22" i="6"/>
  <c r="B25" i="6" s="1"/>
  <c r="N27" i="6"/>
  <c r="B26" i="6"/>
  <c r="F31" i="6"/>
  <c r="B17" i="6"/>
  <c r="K38" i="6"/>
  <c r="F16" i="6"/>
  <c r="F24" i="6"/>
  <c r="F26" i="6" s="1"/>
  <c r="N16" i="6"/>
  <c r="N31" i="6" s="1"/>
  <c r="B28" i="3"/>
  <c r="N35" i="3"/>
  <c r="N34" i="3"/>
  <c r="N38" i="3" s="1"/>
  <c r="N40" i="3" s="1"/>
  <c r="N41" i="3"/>
  <c r="K36" i="3"/>
  <c r="K41" i="3"/>
  <c r="K38" i="3"/>
  <c r="K40" i="3" s="1"/>
  <c r="N10" i="3"/>
  <c r="F22" i="3" s="1"/>
  <c r="F25" i="3" s="1"/>
  <c r="N17" i="3"/>
  <c r="F27" i="3" s="1"/>
  <c r="F37" i="3" s="1"/>
  <c r="F33" i="3"/>
  <c r="F29" i="3"/>
  <c r="F31" i="3" s="1"/>
  <c r="F28" i="3"/>
  <c r="F24" i="3"/>
  <c r="F26" i="3" s="1"/>
  <c r="F23" i="3"/>
  <c r="B37" i="3"/>
  <c r="B33" i="3"/>
  <c r="B31" i="3"/>
  <c r="B30" i="3"/>
  <c r="J16" i="3"/>
  <c r="B26" i="3"/>
  <c r="B25" i="3"/>
  <c r="B24" i="3"/>
  <c r="B23" i="3"/>
  <c r="B22" i="3"/>
  <c r="B17" i="3"/>
  <c r="B11" i="3"/>
  <c r="B12" i="3"/>
  <c r="B13" i="3"/>
  <c r="B15" i="3"/>
  <c r="B14" i="3"/>
  <c r="F17" i="3"/>
  <c r="F14" i="3"/>
  <c r="F15" i="3"/>
  <c r="F13" i="3"/>
  <c r="F12" i="3"/>
  <c r="F11" i="3"/>
  <c r="J17" i="3"/>
  <c r="J11" i="3"/>
  <c r="J12" i="3"/>
  <c r="J13" i="3"/>
  <c r="J14" i="3"/>
  <c r="J15" i="3"/>
  <c r="J10" i="3"/>
  <c r="F10" i="3"/>
  <c r="B10" i="3"/>
  <c r="J9" i="3"/>
  <c r="F9" i="3"/>
  <c r="A26" i="5"/>
  <c r="B11" i="5"/>
  <c r="B20" i="5"/>
  <c r="B16" i="5"/>
  <c r="B4" i="5"/>
  <c r="B9" i="5"/>
  <c r="B17" i="5"/>
  <c r="E47" i="4"/>
  <c r="D50" i="4" s="1"/>
  <c r="I53" i="4"/>
  <c r="H53" i="4"/>
  <c r="F53" i="4"/>
  <c r="E53" i="4"/>
  <c r="G47" i="4"/>
  <c r="F25" i="4"/>
  <c r="E14" i="4"/>
  <c r="B14" i="4"/>
  <c r="F19" i="4"/>
  <c r="E8" i="4"/>
  <c r="B8" i="4"/>
  <c r="F24" i="4"/>
  <c r="F23" i="4"/>
  <c r="F22" i="4"/>
  <c r="F21" i="4"/>
  <c r="F20" i="4"/>
  <c r="B20" i="4"/>
  <c r="C20" i="4" s="1"/>
  <c r="B19" i="4"/>
  <c r="C19" i="4" s="1"/>
  <c r="B18" i="4"/>
  <c r="C18" i="4" s="1"/>
  <c r="E13" i="4"/>
  <c r="B13" i="4"/>
  <c r="E12" i="4"/>
  <c r="B12" i="4"/>
  <c r="E11" i="4"/>
  <c r="B11" i="4"/>
  <c r="E10" i="4"/>
  <c r="B10" i="4"/>
  <c r="E9" i="4"/>
  <c r="B9" i="4"/>
  <c r="H7" i="4"/>
  <c r="H8" i="4" s="1"/>
  <c r="E7" i="4"/>
  <c r="B22" i="1"/>
  <c r="B17" i="1"/>
  <c r="B21" i="1"/>
  <c r="B20" i="1"/>
  <c r="B18" i="1"/>
  <c r="B19" i="1"/>
  <c r="E22" i="1"/>
  <c r="E19" i="1"/>
  <c r="E18" i="1"/>
  <c r="E17" i="1"/>
  <c r="E21" i="1"/>
  <c r="E20" i="1"/>
  <c r="F29" i="1"/>
  <c r="F33" i="1"/>
  <c r="F30" i="1"/>
  <c r="F28" i="1"/>
  <c r="F31" i="1"/>
  <c r="F32" i="1"/>
  <c r="F27" i="1"/>
  <c r="H15" i="1"/>
  <c r="E15" i="1"/>
  <c r="F8" i="1"/>
  <c r="F5" i="1"/>
  <c r="F11" i="1" s="1"/>
  <c r="F12" i="1" s="1"/>
  <c r="F10" i="1" s="1"/>
  <c r="C27" i="1"/>
  <c r="C28" i="1"/>
  <c r="C26" i="1"/>
  <c r="B27" i="1"/>
  <c r="B28" i="1"/>
  <c r="B26" i="1"/>
  <c r="H16" i="1"/>
  <c r="E16" i="1"/>
  <c r="B16" i="1"/>
  <c r="F37" i="6" l="1"/>
  <c r="F32" i="6"/>
  <c r="B47" i="6"/>
  <c r="G49" i="6"/>
  <c r="K39" i="6"/>
  <c r="K42" i="6" s="1"/>
  <c r="K40" i="6"/>
  <c r="N29" i="6"/>
  <c r="N30" i="6"/>
  <c r="B27" i="6"/>
  <c r="N32" i="6"/>
  <c r="B48" i="6"/>
  <c r="K43" i="6"/>
  <c r="F34" i="6"/>
  <c r="F36" i="6" s="1"/>
  <c r="B28" i="6"/>
  <c r="N33" i="6"/>
  <c r="B32" i="3"/>
  <c r="B34" i="3"/>
  <c r="N36" i="3"/>
  <c r="N39" i="3"/>
  <c r="N42" i="3" s="1"/>
  <c r="K43" i="3"/>
  <c r="K39" i="3"/>
  <c r="K42" i="3" s="1"/>
  <c r="F30" i="3"/>
  <c r="F32" i="3" s="1"/>
  <c r="B16" i="3"/>
  <c r="F39" i="6" l="1"/>
  <c r="F35" i="6"/>
  <c r="F38" i="6" s="1"/>
  <c r="G47" i="6"/>
  <c r="G50" i="6"/>
  <c r="N34" i="6"/>
  <c r="G51" i="6"/>
  <c r="N35" i="6"/>
  <c r="B30" i="6"/>
  <c r="B50" i="6"/>
  <c r="B31" i="6"/>
  <c r="B49" i="6"/>
  <c r="B37" i="6"/>
  <c r="G48" i="6"/>
  <c r="N41" i="6"/>
  <c r="B36" i="3"/>
  <c r="B35" i="3"/>
  <c r="B39" i="3"/>
  <c r="F34" i="3"/>
  <c r="F39" i="3" s="1"/>
  <c r="F36" i="3"/>
  <c r="N36" i="6" l="1"/>
  <c r="G54" i="6"/>
  <c r="N38" i="6"/>
  <c r="B54" i="6"/>
  <c r="B32" i="6"/>
  <c r="B34" i="6"/>
  <c r="F35" i="3"/>
  <c r="F38" i="3" s="1"/>
  <c r="B52" i="6" l="1"/>
  <c r="B36" i="6"/>
  <c r="B35" i="6"/>
  <c r="G52" i="6"/>
  <c r="N40" i="6"/>
  <c r="N39" i="6"/>
  <c r="N43" i="6"/>
  <c r="G56" i="6" s="1"/>
  <c r="B39" i="6"/>
  <c r="B56" i="6" s="1"/>
  <c r="B53" i="6" l="1"/>
  <c r="B38" i="6"/>
  <c r="B55" i="6" s="1"/>
  <c r="G53" i="6"/>
  <c r="N42" i="6"/>
  <c r="G55" i="6" s="1"/>
</calcChain>
</file>

<file path=xl/sharedStrings.xml><?xml version="1.0" encoding="utf-8"?>
<sst xmlns="http://schemas.openxmlformats.org/spreadsheetml/2006/main" count="480" uniqueCount="132">
  <si>
    <t>GCI Study</t>
  </si>
  <si>
    <t>Time step</t>
  </si>
  <si>
    <t>Final time</t>
  </si>
  <si>
    <t>iterations</t>
  </si>
  <si>
    <t>write interval</t>
  </si>
  <si>
    <t>1 s</t>
  </si>
  <si>
    <t>write count</t>
  </si>
  <si>
    <t>N_cells</t>
  </si>
  <si>
    <t>h_1</t>
  </si>
  <si>
    <t>m_dot_primary</t>
  </si>
  <si>
    <t>h_2</t>
  </si>
  <si>
    <t>h_3</t>
  </si>
  <si>
    <t>m_dot_net</t>
  </si>
  <si>
    <t>Hcc</t>
  </si>
  <si>
    <t>10 cm assumed</t>
  </si>
  <si>
    <t>Species from the cantera</t>
  </si>
  <si>
    <t>O2</t>
  </si>
  <si>
    <t>OH</t>
  </si>
  <si>
    <t>H2O</t>
  </si>
  <si>
    <t>CO2</t>
  </si>
  <si>
    <t>N2</t>
  </si>
  <si>
    <t>Mol fraction</t>
  </si>
  <si>
    <t>Temp (K)</t>
  </si>
  <si>
    <t>N2 corrected</t>
  </si>
  <si>
    <t>Sum</t>
  </si>
  <si>
    <t>Correction</t>
  </si>
  <si>
    <t>Trial 2 (h2)</t>
  </si>
  <si>
    <t>Trial 3 (h3)</t>
  </si>
  <si>
    <t>Caubel flow rates</t>
  </si>
  <si>
    <t>Cubic feet /min</t>
  </si>
  <si>
    <t>cubic ft /s</t>
  </si>
  <si>
    <t>cubic m /s</t>
  </si>
  <si>
    <t>NO</t>
  </si>
  <si>
    <t>Vx_rhs</t>
  </si>
  <si>
    <t>Vy_rhs</t>
  </si>
  <si>
    <t>Vx_lhs</t>
  </si>
  <si>
    <t>Vy_lhs</t>
  </si>
  <si>
    <t>Simulation for GCI</t>
  </si>
  <si>
    <t>m/s</t>
  </si>
  <si>
    <t>good</t>
  </si>
  <si>
    <t>Trial 4 (h4)</t>
  </si>
  <si>
    <t>TRY 1</t>
  </si>
  <si>
    <t>running with data at 2.5</t>
  </si>
  <si>
    <t>Trial 1 (h1) Didn’t complete</t>
  </si>
  <si>
    <t>m_dot_outlet RHS</t>
  </si>
  <si>
    <t>m_dot_outlet LHS</t>
  </si>
  <si>
    <t>m_dot_secondary RHS</t>
  </si>
  <si>
    <t>m_dot_secondary_LHS</t>
  </si>
  <si>
    <t>hcc</t>
  </si>
  <si>
    <t>v</t>
  </si>
  <si>
    <t>rho</t>
  </si>
  <si>
    <t>A (prim)</t>
  </si>
  <si>
    <t>A second</t>
  </si>
  <si>
    <t>v_second_x</t>
  </si>
  <si>
    <t>v_second_y</t>
  </si>
  <si>
    <t>Qx</t>
  </si>
  <si>
    <t>angle</t>
  </si>
  <si>
    <t>deg</t>
  </si>
  <si>
    <t>Primary inlet</t>
  </si>
  <si>
    <t>Diameter</t>
  </si>
  <si>
    <t>Angle</t>
  </si>
  <si>
    <t>density</t>
  </si>
  <si>
    <t>Qy</t>
  </si>
  <si>
    <t>Secondary inlet (RHS)</t>
  </si>
  <si>
    <t>type</t>
  </si>
  <si>
    <t>flowRateInletVelocity</t>
  </si>
  <si>
    <t>flowrate</t>
  </si>
  <si>
    <t>Velocity</t>
  </si>
  <si>
    <t>d</t>
  </si>
  <si>
    <t>A_primary</t>
  </si>
  <si>
    <t>pull straight from the input</t>
  </si>
  <si>
    <t>m</t>
  </si>
  <si>
    <t>m2</t>
  </si>
  <si>
    <t>kg/m3</t>
  </si>
  <si>
    <t>m3/s</t>
  </si>
  <si>
    <t>working out of 2nd run folder</t>
  </si>
  <si>
    <t>value</t>
  </si>
  <si>
    <t>uniform (0 0 1)</t>
  </si>
  <si>
    <t>vertical</t>
  </si>
  <si>
    <t>Velocity component in x</t>
  </si>
  <si>
    <t>Velocity component in y</t>
  </si>
  <si>
    <t>Flow Rate mag</t>
  </si>
  <si>
    <t>assuming purely cross flow</t>
  </si>
  <si>
    <t>area 2 inlet</t>
  </si>
  <si>
    <t>for this case</t>
  </si>
  <si>
    <t>use the spacing assigned</t>
  </si>
  <si>
    <t>mass flow rate</t>
  </si>
  <si>
    <t>kg/s</t>
  </si>
  <si>
    <t>h_4</t>
  </si>
  <si>
    <t>m_dot_sum</t>
  </si>
  <si>
    <t>File is called h1, but this is h3 in the analysis</t>
  </si>
  <si>
    <t>File is called h2, and is h2 in theGCI analysis</t>
  </si>
  <si>
    <t>File is called h3, and is h1 in theGCI analysis</t>
  </si>
  <si>
    <t>h1</t>
  </si>
  <si>
    <t>h2</t>
  </si>
  <si>
    <t>h3</t>
  </si>
  <si>
    <t>r21</t>
  </si>
  <si>
    <t>r32</t>
  </si>
  <si>
    <t>phi_1</t>
  </si>
  <si>
    <t>phi_2</t>
  </si>
  <si>
    <t>phi_3</t>
  </si>
  <si>
    <t>eta_21</t>
  </si>
  <si>
    <t>eta_32</t>
  </si>
  <si>
    <t>s</t>
  </si>
  <si>
    <t>q_p</t>
  </si>
  <si>
    <t>p</t>
  </si>
  <si>
    <t>phi_21_ext</t>
  </si>
  <si>
    <t>phi_32_ext</t>
  </si>
  <si>
    <t>ea_21</t>
  </si>
  <si>
    <t>ea_21_ext</t>
  </si>
  <si>
    <t>GCI_fine_21</t>
  </si>
  <si>
    <t>GCI Analysis per Celik (h3,2,1)</t>
  </si>
  <si>
    <t>GCI Analysis per Celik (h3,2,4)</t>
  </si>
  <si>
    <t>Trial 3 (h4)</t>
  </si>
  <si>
    <t>From ref</t>
  </si>
  <si>
    <t>Using the net mass flow rate (+/-_</t>
  </si>
  <si>
    <t>h1, h2, h3</t>
  </si>
  <si>
    <t>phi_ext_21</t>
  </si>
  <si>
    <t>e_a_21</t>
  </si>
  <si>
    <t>ext_21</t>
  </si>
  <si>
    <t>GCIfine_21</t>
  </si>
  <si>
    <t>0.005, 0.01, 0.02</t>
  </si>
  <si>
    <t>0.0025, 0.005, 0.02</t>
  </si>
  <si>
    <t>Case 1 (mass flow rate net)</t>
  </si>
  <si>
    <t>Case 2 (mass flow rate net)</t>
  </si>
  <si>
    <t>Case 1 (total flux to pot)</t>
  </si>
  <si>
    <t>GCI going h1 (80), h2 (20), h3 (10)</t>
  </si>
  <si>
    <t>0.0025, 0.01, 0.02</t>
  </si>
  <si>
    <t>N</t>
  </si>
  <si>
    <t>h1 file name</t>
  </si>
  <si>
    <t>h2 file name</t>
  </si>
  <si>
    <t>h3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</si>
</sst>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GCI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(Sheet4!$F$19,Sheet4!$B$8,Sheet4!$E$8)</c:f>
              <c:numCache>
                <c:formatCode>General</c:formatCode>
                <c:ptCount val="3"/>
                <c:pt idx="0">
                  <c:v>0.04</c:v>
                </c:pt>
                <c:pt idx="1">
                  <c:v>0.02</c:v>
                </c:pt>
                <c:pt idx="2">
                  <c:v>0.01</c:v>
                </c:pt>
              </c:numCache>
            </c:numRef>
          </c:xVal>
          <c:yVal>
            <c:numRef>
              <c:f>(Sheet4!$F$25,Sheet4!$B$14,Sheet4!$E$14)</c:f>
              <c:numCache>
                <c:formatCode>General</c:formatCode>
                <c:ptCount val="3"/>
                <c:pt idx="0">
                  <c:v>-2.7736660484000002E-8</c:v>
                </c:pt>
                <c:pt idx="1">
                  <c:v>1.9511965138999998E-9</c:v>
                </c:pt>
                <c:pt idx="2">
                  <c:v>1.9698328954565998E-8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B-49BC-BA87-A0FB64E0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16336"/>
        <c:axId val="568316664"/>
      </c:scatterChart>
      <c:valAx>
        <c:axId val="5683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6664"/>
        <c:crosses val="autoZero"/>
        <c:crossBetween val="midCat"/>
      </c:valAx>
      <c:valAx>
        <c:axId val="5683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579120</xdr:colOff>
      <xdr:row>2</xdr:row>
      <xdr:rowOff>38100</xdr:rowOff>
    </xdr:from>
    <xdr:to>
      <xdr:col>15</xdr:col>
      <xdr:colOff>565055</xdr:colOff>
      <xdr:row>8</xdr:row>
      <xdr:rowOff>55106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464DCA-6FBF-404F-A44D-EDFD60450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4840" y="403860"/>
          <a:ext cx="5838095" cy="1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28</xdr:row>
      <xdr:rowOff>102870</xdr:rowOff>
    </xdr:from>
    <xdr:to>
      <xdr:col>5</xdr:col>
      <xdr:colOff>1066800</xdr:colOff>
      <xdr:row>43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2B35B-A7D8-43F2-9703-01324FBB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305516</xdr:colOff>
      <xdr:row>0</xdr:row>
      <xdr:rowOff>68580</xdr:rowOff>
    </xdr:from>
    <xdr:to>
      <xdr:col>10</xdr:col>
      <xdr:colOff>438747</xdr:colOff>
      <xdr:row>31</xdr:row>
      <xdr:rowOff>67389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6ADE36-DE64-4B53-A2C6-1826CBE28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516" y="68580"/>
          <a:ext cx="6229231" cy="566808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9</xdr:row>
      <xdr:rowOff>60960</xdr:rowOff>
    </xdr:from>
    <xdr:to>
      <xdr:col>20</xdr:col>
      <xdr:colOff>183936</xdr:colOff>
      <xdr:row>25</xdr:row>
      <xdr:rowOff>77737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09E0A8-4258-4494-9E98-ECE2685CC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0" y="1706880"/>
          <a:ext cx="6790476" cy="2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10C5-7285-41E8-A4BC-FD0792FC5611}">
  <dimension ref="A1:S33"/>
  <sheetViews>
    <sheetView topLeftCell="A7" zoomScale="70" zoomScaleNormal="70" workbookViewId="0">
      <selection activeCell="G14" sqref="G14:H22"/>
    </sheetView>
  </sheetViews>
  <sheetFormatPr defaultRowHeight="14.4" x14ac:dyDescent="0.3"/>
  <cols>
    <col min="1" max="1" width="23.109375" customWidth="1"/>
    <col min="2" max="2" width="16.6640625" customWidth="1"/>
    <col min="3" max="3" width="15.88671875" customWidth="1"/>
    <col min="4" max="4" width="24" customWidth="1"/>
    <col min="5" max="5" width="24.5546875" customWidth="1"/>
    <col min="6" max="6" width="17.33203125" customWidth="1"/>
    <col min="7" max="7" width="23.44140625" customWidth="1"/>
    <col min="11" max="11" width="23.109375" customWidth="1"/>
  </cols>
  <sheetData>
    <row r="1" spans="1:19" x14ac:dyDescent="0.3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2"/>
      <c r="B3" s="2"/>
      <c r="C3" s="2"/>
      <c r="D3" s="2"/>
      <c r="E3" s="2" t="s">
        <v>15</v>
      </c>
      <c r="F3" s="2" t="s">
        <v>21</v>
      </c>
      <c r="G3" s="2" t="s">
        <v>22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2" t="s">
        <v>1</v>
      </c>
      <c r="B4" s="2">
        <v>0.01</v>
      </c>
      <c r="C4" s="2"/>
      <c r="D4" s="2" t="s">
        <v>39</v>
      </c>
      <c r="E4" s="2" t="s">
        <v>16</v>
      </c>
      <c r="F4" s="8">
        <v>0.186</v>
      </c>
      <c r="G4" s="2">
        <v>560.79999999999995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2" t="s">
        <v>2</v>
      </c>
      <c r="B5" s="2">
        <v>300</v>
      </c>
      <c r="C5" s="2"/>
      <c r="D5" s="2" t="s">
        <v>39</v>
      </c>
      <c r="E5" s="2" t="s">
        <v>17</v>
      </c>
      <c r="F5" s="8">
        <f>1.41*(10^-14)</f>
        <v>1.41E-14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2" t="s">
        <v>3</v>
      </c>
      <c r="B6" s="2">
        <v>30000</v>
      </c>
      <c r="C6" s="2"/>
      <c r="D6" s="2" t="s">
        <v>39</v>
      </c>
      <c r="E6" s="2" t="s">
        <v>18</v>
      </c>
      <c r="F6" s="8">
        <v>2.86E-2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2" t="s">
        <v>4</v>
      </c>
      <c r="B7" s="2" t="s">
        <v>5</v>
      </c>
      <c r="C7" s="2"/>
      <c r="D7" s="2" t="s">
        <v>39</v>
      </c>
      <c r="E7" s="2" t="s">
        <v>19</v>
      </c>
      <c r="F7" s="8">
        <v>2.3400000000000001E-2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2" t="s">
        <v>6</v>
      </c>
      <c r="B8" s="2">
        <v>300</v>
      </c>
      <c r="C8" s="2"/>
      <c r="D8" s="2"/>
      <c r="E8" s="2" t="s">
        <v>32</v>
      </c>
      <c r="F8" s="1">
        <f>0.00000000533</f>
        <v>5.3300000000000004E-9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2"/>
      <c r="B9" s="2"/>
      <c r="C9" s="2"/>
      <c r="D9" s="2" t="s">
        <v>39</v>
      </c>
      <c r="E9" s="2" t="s">
        <v>20</v>
      </c>
      <c r="F9" s="8">
        <v>0.76189700000000005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2"/>
      <c r="B10" s="2"/>
      <c r="C10" s="2"/>
      <c r="D10" s="2"/>
      <c r="E10" s="2" t="s">
        <v>23</v>
      </c>
      <c r="F10" s="9">
        <f>F9+F12</f>
        <v>0.76199999466998591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">
      <c r="A11" s="2" t="s">
        <v>13</v>
      </c>
      <c r="B11" s="2">
        <v>0.2</v>
      </c>
      <c r="C11" s="2" t="s">
        <v>14</v>
      </c>
      <c r="E11" s="2" t="s">
        <v>24</v>
      </c>
      <c r="F11" s="2">
        <f>SUM(F4:F9)</f>
        <v>0.99989700533001413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">
      <c r="A12" s="2"/>
      <c r="B12" s="2"/>
      <c r="C12" s="2"/>
      <c r="D12" s="2"/>
      <c r="E12" s="2" t="s">
        <v>25</v>
      </c>
      <c r="F12" s="1">
        <f>1-F11</f>
        <v>1.0299466998586748E-4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A14" s="15" t="s">
        <v>43</v>
      </c>
      <c r="B14" s="15"/>
      <c r="C14" s="2"/>
      <c r="D14" s="15" t="s">
        <v>26</v>
      </c>
      <c r="E14" s="15"/>
      <c r="F14" s="2"/>
      <c r="G14" s="15" t="s">
        <v>27</v>
      </c>
      <c r="H14" s="15"/>
      <c r="I14" s="2"/>
      <c r="J14" s="2"/>
      <c r="K14" s="11" t="s">
        <v>41</v>
      </c>
      <c r="L14" s="2"/>
      <c r="M14" s="2"/>
      <c r="N14" s="2"/>
      <c r="O14" s="2"/>
      <c r="P14" s="2"/>
      <c r="Q14" s="2"/>
      <c r="R14" s="2"/>
      <c r="S14" s="2"/>
    </row>
    <row r="15" spans="1:19" x14ac:dyDescent="0.3">
      <c r="A15" s="4" t="s">
        <v>7</v>
      </c>
      <c r="B15" s="4">
        <v>10</v>
      </c>
      <c r="C15" s="2"/>
      <c r="D15" s="4" t="s">
        <v>7</v>
      </c>
      <c r="E15" s="4">
        <f>20</f>
        <v>20</v>
      </c>
      <c r="F15" s="2"/>
      <c r="G15" s="4" t="s">
        <v>7</v>
      </c>
      <c r="H15" s="4">
        <f>40</f>
        <v>40</v>
      </c>
      <c r="I15" s="2"/>
      <c r="J15" s="2"/>
      <c r="K15" s="11" t="s">
        <v>42</v>
      </c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4" t="s">
        <v>8</v>
      </c>
      <c r="B16" s="4">
        <f>B11/B15</f>
        <v>0.02</v>
      </c>
      <c r="C16" s="2"/>
      <c r="D16" s="4" t="s">
        <v>10</v>
      </c>
      <c r="E16" s="4">
        <f>B11/E15</f>
        <v>0.01</v>
      </c>
      <c r="F16" s="2"/>
      <c r="G16" s="4" t="s">
        <v>11</v>
      </c>
      <c r="H16" s="4">
        <f>B11/H15</f>
        <v>5.0000000000000001E-3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">
      <c r="A17" s="4" t="s">
        <v>9</v>
      </c>
      <c r="B17" s="4">
        <f>-0.00000000611528451</f>
        <v>-6.11528451E-9</v>
      </c>
      <c r="C17" s="2"/>
      <c r="D17" s="4" t="s">
        <v>9</v>
      </c>
      <c r="E17" s="4">
        <f>-0.000000001389489157</f>
        <v>-1.3894891570000001E-9</v>
      </c>
      <c r="F17" s="2"/>
      <c r="G17" s="4" t="s">
        <v>9</v>
      </c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s="4" t="s">
        <v>46</v>
      </c>
      <c r="B18" s="4">
        <f>-0.000000000254709288</f>
        <v>-2.5470928799999999E-10</v>
      </c>
      <c r="C18" s="2"/>
      <c r="D18" s="4" t="s">
        <v>46</v>
      </c>
      <c r="E18" s="4">
        <f>-0.0000000000583656055</f>
        <v>-5.8365605500000001E-11</v>
      </c>
      <c r="F18" s="2"/>
      <c r="G18" s="4" t="s">
        <v>46</v>
      </c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">
      <c r="A19" s="12" t="s">
        <v>47</v>
      </c>
      <c r="B19" s="12">
        <f>-0.0000000002597098121</f>
        <v>-2.5970981209999998E-10</v>
      </c>
      <c r="C19" s="2"/>
      <c r="D19" s="12" t="s">
        <v>47</v>
      </c>
      <c r="E19" s="4">
        <f>-5.9287112934E-11</f>
        <v>-5.9287112933999999E-11</v>
      </c>
      <c r="F19" s="2"/>
      <c r="G19" s="12" t="s">
        <v>47</v>
      </c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">
      <c r="A20" s="4" t="s">
        <v>44</v>
      </c>
      <c r="B20" s="4">
        <f>-0.00000000501032127</f>
        <v>-5.0103212700000002E-9</v>
      </c>
      <c r="C20" s="2"/>
      <c r="D20" s="4" t="s">
        <v>44</v>
      </c>
      <c r="E20" s="4">
        <f>-0.0000000107193485</f>
        <v>-1.07193485E-8</v>
      </c>
      <c r="F20" s="2"/>
      <c r="G20" s="4" t="s">
        <v>44</v>
      </c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3">
      <c r="A21" s="4" t="s">
        <v>45</v>
      </c>
      <c r="B21" s="4">
        <f>-0.000000003570578854</f>
        <v>-3.5705788540000001E-9</v>
      </c>
      <c r="C21" s="2"/>
      <c r="D21" s="4" t="s">
        <v>45</v>
      </c>
      <c r="E21" s="4">
        <f>-0.00000001048612233</f>
        <v>-1.0486122329999999E-8</v>
      </c>
      <c r="F21" s="2"/>
      <c r="G21" s="4" t="s">
        <v>45</v>
      </c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">
      <c r="A22" s="13" t="s">
        <v>12</v>
      </c>
      <c r="B22" s="13">
        <f>B17+B18+B19-B20-B21</f>
        <v>1.9511965138999998E-9</v>
      </c>
      <c r="C22" s="2"/>
      <c r="D22" s="13" t="s">
        <v>12</v>
      </c>
      <c r="E22" s="13">
        <f>E17+E18+E19+-E20-E21</f>
        <v>1.9698328954565998E-8</v>
      </c>
      <c r="F22" s="2"/>
      <c r="G22" s="4" t="s">
        <v>12</v>
      </c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4" spans="1:19" x14ac:dyDescent="0.3">
      <c r="A24" s="16" t="s">
        <v>28</v>
      </c>
      <c r="B24" s="16"/>
      <c r="C24" s="16"/>
    </row>
    <row r="25" spans="1:19" x14ac:dyDescent="0.3">
      <c r="A25" s="6" t="s">
        <v>29</v>
      </c>
      <c r="B25" s="6" t="s">
        <v>30</v>
      </c>
      <c r="C25" s="6" t="s">
        <v>31</v>
      </c>
      <c r="E25" s="15" t="s">
        <v>40</v>
      </c>
      <c r="F25" s="15"/>
    </row>
    <row r="26" spans="1:19" x14ac:dyDescent="0.3">
      <c r="A26" s="7">
        <v>0.75</v>
      </c>
      <c r="B26" s="7">
        <f>A26/60</f>
        <v>1.2500000000000001E-2</v>
      </c>
      <c r="C26" s="7">
        <f>B26*(0.3048^3)</f>
        <v>3.5396058240000009E-4</v>
      </c>
      <c r="E26" s="4" t="s">
        <v>7</v>
      </c>
      <c r="F26" s="4">
        <v>80</v>
      </c>
    </row>
    <row r="27" spans="1:19" x14ac:dyDescent="0.3">
      <c r="A27" s="7">
        <v>1</v>
      </c>
      <c r="B27" s="7">
        <f t="shared" ref="B27:B28" si="0">A27/60</f>
        <v>1.6666666666666666E-2</v>
      </c>
      <c r="C27" s="7">
        <f t="shared" ref="C27:C28" si="1">B27*(0.3048^3)</f>
        <v>4.7194744320000004E-4</v>
      </c>
      <c r="E27" s="4" t="s">
        <v>88</v>
      </c>
      <c r="F27" s="4">
        <f>B11/F26</f>
        <v>2.5000000000000001E-3</v>
      </c>
    </row>
    <row r="28" spans="1:19" x14ac:dyDescent="0.3">
      <c r="A28" s="7">
        <v>1.25</v>
      </c>
      <c r="B28" s="7">
        <f t="shared" si="0"/>
        <v>2.0833333333333332E-2</v>
      </c>
      <c r="C28" s="7">
        <f t="shared" si="1"/>
        <v>5.8993430400000005E-4</v>
      </c>
      <c r="E28" s="4" t="s">
        <v>9</v>
      </c>
      <c r="F28" s="4">
        <f>-0.00000002219995541</f>
        <v>-2.2199955410000001E-8</v>
      </c>
    </row>
    <row r="29" spans="1:19" x14ac:dyDescent="0.3">
      <c r="E29" s="4" t="s">
        <v>46</v>
      </c>
      <c r="F29" s="4">
        <f>-0.000000001044652537</f>
        <v>-1.044652537E-9</v>
      </c>
    </row>
    <row r="30" spans="1:19" x14ac:dyDescent="0.3">
      <c r="E30" s="12" t="s">
        <v>47</v>
      </c>
      <c r="F30" s="4">
        <f>-0.000000001044652537</f>
        <v>-1.044652537E-9</v>
      </c>
    </row>
    <row r="31" spans="1:19" x14ac:dyDescent="0.3">
      <c r="E31" s="4" t="s">
        <v>44</v>
      </c>
      <c r="F31" s="4">
        <f>0.0000000017237</f>
        <v>1.7237E-9</v>
      </c>
    </row>
    <row r="32" spans="1:19" x14ac:dyDescent="0.3">
      <c r="E32" s="4" t="s">
        <v>45</v>
      </c>
      <c r="F32" s="4">
        <f>0.0000000017237</f>
        <v>1.7237E-9</v>
      </c>
    </row>
    <row r="33" spans="5:6" x14ac:dyDescent="0.3">
      <c r="E33" s="13" t="s">
        <v>12</v>
      </c>
      <c r="F33" s="13">
        <f>F28+F29+F30-F31-F32</f>
        <v>-2.7736660484000002E-8</v>
      </c>
    </row>
  </sheetData>
  <mergeCells count="5">
    <mergeCell ref="A14:B14"/>
    <mergeCell ref="D14:E14"/>
    <mergeCell ref="G14:H14"/>
    <mergeCell ref="A24:C24"/>
    <mergeCell ref="E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79EC-E8FC-4323-AC3D-F043B52C6CD9}">
  <dimension ref="A2:N56"/>
  <sheetViews>
    <sheetView topLeftCell="A9" zoomScale="85" zoomScaleNormal="85" workbookViewId="0">
      <selection activeCell="A30" sqref="A30:B39"/>
    </sheetView>
  </sheetViews>
  <sheetFormatPr defaultRowHeight="14.4" x14ac:dyDescent="0.3"/>
  <cols>
    <col min="1" max="1" width="24.88671875" customWidth="1"/>
    <col min="2" max="3" width="30.6640625" customWidth="1"/>
    <col min="5" max="5" width="32.109375" customWidth="1"/>
    <col min="6" max="6" width="18.33203125" customWidth="1"/>
    <col min="9" max="9" width="19.88671875" bestFit="1" customWidth="1"/>
    <col min="10" max="10" width="12.6640625" customWidth="1"/>
    <col min="11" max="11" width="14.33203125" customWidth="1"/>
    <col min="13" max="13" width="20.33203125" bestFit="1" customWidth="1"/>
    <col min="14" max="14" width="13" bestFit="1" customWidth="1"/>
  </cols>
  <sheetData>
    <row r="2" spans="1:14" x14ac:dyDescent="0.3">
      <c r="A2" t="s">
        <v>48</v>
      </c>
    </row>
    <row r="3" spans="1:14" x14ac:dyDescent="0.3">
      <c r="A3">
        <v>0.2</v>
      </c>
      <c r="B3" t="s">
        <v>71</v>
      </c>
    </row>
    <row r="6" spans="1:14" x14ac:dyDescent="0.3">
      <c r="A6" t="s">
        <v>90</v>
      </c>
      <c r="E6" t="s">
        <v>91</v>
      </c>
      <c r="I6" t="s">
        <v>92</v>
      </c>
    </row>
    <row r="8" spans="1:14" x14ac:dyDescent="0.3">
      <c r="A8" s="15" t="s">
        <v>43</v>
      </c>
      <c r="B8" s="15"/>
      <c r="E8" s="15" t="s">
        <v>26</v>
      </c>
      <c r="F8" s="15"/>
      <c r="I8" s="15" t="s">
        <v>27</v>
      </c>
      <c r="J8" s="15"/>
      <c r="M8" s="15" t="s">
        <v>113</v>
      </c>
      <c r="N8" s="15"/>
    </row>
    <row r="9" spans="1:14" x14ac:dyDescent="0.3">
      <c r="A9" s="4" t="s">
        <v>7</v>
      </c>
      <c r="B9" s="4">
        <v>10</v>
      </c>
      <c r="E9" s="4" t="s">
        <v>7</v>
      </c>
      <c r="F9" s="4">
        <f>20</f>
        <v>20</v>
      </c>
      <c r="I9" s="4" t="s">
        <v>7</v>
      </c>
      <c r="J9" s="4">
        <f>40</f>
        <v>40</v>
      </c>
      <c r="M9" s="4" t="s">
        <v>7</v>
      </c>
      <c r="N9" s="4">
        <v>80</v>
      </c>
    </row>
    <row r="10" spans="1:14" x14ac:dyDescent="0.3">
      <c r="A10" s="4" t="s">
        <v>11</v>
      </c>
      <c r="B10" s="4">
        <f>A3/B9</f>
        <v>0.02</v>
      </c>
      <c r="E10" s="4" t="s">
        <v>10</v>
      </c>
      <c r="F10" s="4">
        <f>A3/F9</f>
        <v>0.01</v>
      </c>
      <c r="I10" s="4" t="s">
        <v>8</v>
      </c>
      <c r="J10" s="4">
        <f>A3/J9</f>
        <v>5.0000000000000001E-3</v>
      </c>
      <c r="M10" s="4" t="s">
        <v>8</v>
      </c>
      <c r="N10" s="4">
        <f>A3/N9</f>
        <v>2.5000000000000001E-3</v>
      </c>
    </row>
    <row r="11" spans="1:14" x14ac:dyDescent="0.3">
      <c r="A11" s="4" t="s">
        <v>9</v>
      </c>
      <c r="B11" s="4">
        <f>-0.00000003039330196</f>
        <v>-3.0393301959999997E-8</v>
      </c>
      <c r="E11" s="4" t="s">
        <v>9</v>
      </c>
      <c r="F11" s="4">
        <f>0.00000000889974845</f>
        <v>8.8997484500000003E-9</v>
      </c>
      <c r="I11" s="4" t="s">
        <v>9</v>
      </c>
      <c r="J11" s="4">
        <f>-0.000000002056969567</f>
        <v>-2.0569695670000001E-9</v>
      </c>
      <c r="M11" s="4" t="s">
        <v>9</v>
      </c>
      <c r="N11" s="4">
        <f>-0.000000000236337708</f>
        <v>-2.3633770799999998E-10</v>
      </c>
    </row>
    <row r="12" spans="1:14" x14ac:dyDescent="0.3">
      <c r="A12" s="4" t="s">
        <v>46</v>
      </c>
      <c r="B12" s="4">
        <f>-0.000000001437570973</f>
        <v>-1.437570973E-9</v>
      </c>
      <c r="E12" s="4" t="s">
        <v>46</v>
      </c>
      <c r="F12" s="4">
        <f>-0.000000000414240872</f>
        <v>-4.14240872E-10</v>
      </c>
      <c r="I12" s="4" t="s">
        <v>46</v>
      </c>
      <c r="J12" s="4">
        <f>-0.0000000000952124403</f>
        <v>-9.5212440300000003E-11</v>
      </c>
      <c r="M12" s="4" t="s">
        <v>46</v>
      </c>
      <c r="N12" s="4">
        <f>-9.676251691E-12</f>
        <v>-9.6762516910000006E-12</v>
      </c>
    </row>
    <row r="13" spans="1:14" x14ac:dyDescent="0.3">
      <c r="A13" s="12" t="s">
        <v>47</v>
      </c>
      <c r="B13" s="12">
        <f>0.000000001424078686</f>
        <v>1.4240786860000001E-9</v>
      </c>
      <c r="E13" s="12" t="s">
        <v>47</v>
      </c>
      <c r="F13" s="4">
        <f>-0.0000000004095484565</f>
        <v>-4.0954845650000001E-10</v>
      </c>
      <c r="I13" s="12" t="s">
        <v>47</v>
      </c>
      <c r="J13" s="4">
        <f>-9.909861234E-11</f>
        <v>-9.9098612340000001E-11</v>
      </c>
      <c r="M13" s="12" t="s">
        <v>47</v>
      </c>
      <c r="N13" s="4">
        <f>-9.695371259E-12</f>
        <v>-9.6953712589999993E-12</v>
      </c>
    </row>
    <row r="14" spans="1:14" x14ac:dyDescent="0.3">
      <c r="A14" s="4" t="s">
        <v>44</v>
      </c>
      <c r="B14" s="4">
        <f>0.00000002774681325</f>
        <v>2.7746813250000001E-8</v>
      </c>
      <c r="E14" s="4" t="s">
        <v>44</v>
      </c>
      <c r="F14" s="4">
        <f>0.000000008614075303</f>
        <v>8.6140753029999999E-9</v>
      </c>
      <c r="I14" s="4" t="s">
        <v>44</v>
      </c>
      <c r="J14" s="4">
        <f>0.00000000396526839</f>
        <v>3.96526839E-9</v>
      </c>
      <c r="M14" s="4" t="s">
        <v>44</v>
      </c>
      <c r="N14" s="4">
        <f>0.0000000004491872437</f>
        <v>4.4918724370000001E-10</v>
      </c>
    </row>
    <row r="15" spans="1:14" x14ac:dyDescent="0.3">
      <c r="A15" s="4" t="s">
        <v>45</v>
      </c>
      <c r="B15" s="4">
        <f>0.00000002909094002</f>
        <v>2.9090940019999999E-8</v>
      </c>
      <c r="E15" s="4" t="s">
        <v>45</v>
      </c>
      <c r="F15" s="4">
        <f>0.000000008959864677</f>
        <v>8.9598646770000003E-9</v>
      </c>
      <c r="I15" s="4" t="s">
        <v>45</v>
      </c>
      <c r="J15" s="4">
        <f>0.000000003833237</f>
        <v>3.8332369999999998E-9</v>
      </c>
      <c r="M15" s="4" t="s">
        <v>45</v>
      </c>
      <c r="N15" s="4">
        <f>0.0000000004515390426</f>
        <v>4.5153904259999998E-10</v>
      </c>
    </row>
    <row r="16" spans="1:14" x14ac:dyDescent="0.3">
      <c r="A16" s="13" t="s">
        <v>12</v>
      </c>
      <c r="B16" s="13">
        <f>B11+B12+B13-B14-B15</f>
        <v>-8.7244547517000002E-8</v>
      </c>
      <c r="E16" s="13" t="s">
        <v>12</v>
      </c>
      <c r="F16" s="13">
        <f>F11+F12+F13-F14-F15</f>
        <v>-9.4979808584999986E-9</v>
      </c>
      <c r="I16" s="4" t="s">
        <v>12</v>
      </c>
      <c r="J16" s="4">
        <f>J11+J12+J13-J14-J15</f>
        <v>-1.004978600964E-8</v>
      </c>
      <c r="M16" s="4" t="s">
        <v>12</v>
      </c>
      <c r="N16" s="4">
        <f>N11+N12+N13-N14-N15</f>
        <v>-1.1564356172499999E-9</v>
      </c>
    </row>
    <row r="17" spans="1:14" x14ac:dyDescent="0.3">
      <c r="A17" s="13" t="s">
        <v>89</v>
      </c>
      <c r="B17" s="13">
        <f>SUM(B11:B15)</f>
        <v>2.6430959023000002E-8</v>
      </c>
      <c r="E17" s="13" t="s">
        <v>89</v>
      </c>
      <c r="F17" s="13">
        <f>SUM(F11:F15)</f>
        <v>2.5649899101500003E-8</v>
      </c>
      <c r="I17" s="13" t="s">
        <v>89</v>
      </c>
      <c r="J17" s="13">
        <f>SUM(J11:J15)</f>
        <v>5.5472247703599999E-9</v>
      </c>
      <c r="M17" s="13" t="s">
        <v>89</v>
      </c>
      <c r="N17" s="13">
        <f>SUM(N11:N15)</f>
        <v>6.4501695535000007E-10</v>
      </c>
    </row>
    <row r="21" spans="1:14" x14ac:dyDescent="0.3">
      <c r="A21" s="17" t="s">
        <v>111</v>
      </c>
      <c r="B21" s="17"/>
      <c r="E21" s="17" t="s">
        <v>112</v>
      </c>
      <c r="F21" s="17"/>
    </row>
    <row r="22" spans="1:14" x14ac:dyDescent="0.3">
      <c r="A22" s="7" t="s">
        <v>93</v>
      </c>
      <c r="B22" s="7">
        <f>J10</f>
        <v>5.0000000000000001E-3</v>
      </c>
      <c r="E22" s="7" t="s">
        <v>93</v>
      </c>
      <c r="F22" s="7">
        <f>N10</f>
        <v>2.5000000000000001E-3</v>
      </c>
      <c r="J22" t="s">
        <v>114</v>
      </c>
    </row>
    <row r="23" spans="1:14" x14ac:dyDescent="0.3">
      <c r="A23" s="7" t="s">
        <v>94</v>
      </c>
      <c r="B23" s="7">
        <f>F10</f>
        <v>0.01</v>
      </c>
      <c r="E23" s="7" t="s">
        <v>94</v>
      </c>
      <c r="F23" s="7">
        <f>J10</f>
        <v>5.0000000000000001E-3</v>
      </c>
      <c r="M23" s="18" t="s">
        <v>115</v>
      </c>
      <c r="N23" s="18"/>
    </row>
    <row r="24" spans="1:14" x14ac:dyDescent="0.3">
      <c r="A24" s="7" t="s">
        <v>95</v>
      </c>
      <c r="B24" s="7">
        <f>B10</f>
        <v>0.02</v>
      </c>
      <c r="E24" s="7" t="s">
        <v>95</v>
      </c>
      <c r="F24" s="7">
        <f>F10</f>
        <v>0.01</v>
      </c>
    </row>
    <row r="25" spans="1:14" x14ac:dyDescent="0.3">
      <c r="A25" s="7" t="s">
        <v>96</v>
      </c>
      <c r="B25" s="7">
        <f>B23/B22</f>
        <v>2</v>
      </c>
      <c r="E25" s="7" t="s">
        <v>96</v>
      </c>
      <c r="F25" s="7">
        <f>F23/F22</f>
        <v>2</v>
      </c>
      <c r="J25" s="17" t="s">
        <v>112</v>
      </c>
      <c r="K25" s="17"/>
      <c r="M25" s="17" t="s">
        <v>112</v>
      </c>
      <c r="N25" s="17"/>
    </row>
    <row r="26" spans="1:14" x14ac:dyDescent="0.3">
      <c r="A26" s="7" t="s">
        <v>97</v>
      </c>
      <c r="B26" s="7">
        <f>B24/B23</f>
        <v>2</v>
      </c>
      <c r="E26" s="7" t="s">
        <v>97</v>
      </c>
      <c r="F26" s="7">
        <f>F24/F23</f>
        <v>2</v>
      </c>
      <c r="J26" s="14" t="s">
        <v>93</v>
      </c>
      <c r="K26" s="14"/>
      <c r="M26" s="14" t="s">
        <v>93</v>
      </c>
      <c r="N26" s="14">
        <f>N10</f>
        <v>2.5000000000000001E-3</v>
      </c>
    </row>
    <row r="27" spans="1:14" x14ac:dyDescent="0.3">
      <c r="A27" s="7" t="s">
        <v>98</v>
      </c>
      <c r="B27" s="7">
        <f>J16</f>
        <v>-1.004978600964E-8</v>
      </c>
      <c r="E27" s="7" t="s">
        <v>98</v>
      </c>
      <c r="F27" s="7">
        <f>N17</f>
        <v>6.4501695535000007E-10</v>
      </c>
      <c r="J27" s="14" t="s">
        <v>94</v>
      </c>
      <c r="K27" s="14">
        <f>O14</f>
        <v>0</v>
      </c>
      <c r="M27" s="14" t="s">
        <v>94</v>
      </c>
      <c r="N27" s="14">
        <f>J10</f>
        <v>5.0000000000000001E-3</v>
      </c>
    </row>
    <row r="28" spans="1:14" x14ac:dyDescent="0.3">
      <c r="A28" s="7" t="s">
        <v>99</v>
      </c>
      <c r="B28" s="7">
        <f>F16</f>
        <v>-9.4979808584999986E-9</v>
      </c>
      <c r="E28" s="7" t="s">
        <v>99</v>
      </c>
      <c r="F28" s="7">
        <f>J17</f>
        <v>5.5472247703599999E-9</v>
      </c>
      <c r="J28" s="14" t="s">
        <v>95</v>
      </c>
      <c r="K28" s="14">
        <f>K14</f>
        <v>0</v>
      </c>
      <c r="M28" s="14" t="s">
        <v>95</v>
      </c>
      <c r="N28" s="14">
        <f>0.01</f>
        <v>0.01</v>
      </c>
    </row>
    <row r="29" spans="1:14" x14ac:dyDescent="0.3">
      <c r="A29" s="7" t="s">
        <v>100</v>
      </c>
      <c r="B29" s="7">
        <f>B16</f>
        <v>-8.7244547517000002E-8</v>
      </c>
      <c r="E29" s="7" t="s">
        <v>100</v>
      </c>
      <c r="F29" s="7">
        <f>F17</f>
        <v>2.5649899101500003E-8</v>
      </c>
      <c r="J29" s="14" t="s">
        <v>96</v>
      </c>
      <c r="K29" s="14">
        <v>1.5</v>
      </c>
      <c r="M29" s="14" t="s">
        <v>96</v>
      </c>
      <c r="N29" s="14">
        <f>N27/N26</f>
        <v>2</v>
      </c>
    </row>
    <row r="30" spans="1:14" x14ac:dyDescent="0.3">
      <c r="A30" s="7" t="s">
        <v>101</v>
      </c>
      <c r="B30" s="7">
        <f>B28-B27</f>
        <v>5.5180515114000097E-10</v>
      </c>
      <c r="E30" s="7" t="s">
        <v>101</v>
      </c>
      <c r="F30" s="7">
        <f>F28-F27</f>
        <v>4.9022078150099994E-9</v>
      </c>
      <c r="J30" s="14" t="s">
        <v>97</v>
      </c>
      <c r="K30" s="14">
        <v>1.333</v>
      </c>
      <c r="M30" s="14" t="s">
        <v>97</v>
      </c>
      <c r="N30" s="14">
        <f>N28/N27</f>
        <v>2</v>
      </c>
    </row>
    <row r="31" spans="1:14" x14ac:dyDescent="0.3">
      <c r="A31" s="7" t="s">
        <v>102</v>
      </c>
      <c r="B31" s="7">
        <f>B29-B28</f>
        <v>-7.7746566658499998E-8</v>
      </c>
      <c r="E31" s="7" t="s">
        <v>102</v>
      </c>
      <c r="F31" s="7">
        <f>F29-F28</f>
        <v>2.0102674331140003E-8</v>
      </c>
      <c r="J31" s="14" t="s">
        <v>98</v>
      </c>
      <c r="K31" s="14">
        <v>6.0629999999999997</v>
      </c>
      <c r="M31" s="14" t="s">
        <v>98</v>
      </c>
      <c r="N31" s="14">
        <f>N16</f>
        <v>-1.1564356172499999E-9</v>
      </c>
    </row>
    <row r="32" spans="1:14" x14ac:dyDescent="0.3">
      <c r="A32" s="7" t="s">
        <v>103</v>
      </c>
      <c r="B32" s="7">
        <f>1*SIGN(B31/B30)</f>
        <v>-1</v>
      </c>
      <c r="E32" s="7" t="s">
        <v>103</v>
      </c>
      <c r="F32" s="7">
        <f>1*SIGN(F31/F30)</f>
        <v>1</v>
      </c>
      <c r="J32" s="14" t="s">
        <v>99</v>
      </c>
      <c r="K32" s="14">
        <v>5.9720000000000004</v>
      </c>
      <c r="M32" s="14" t="s">
        <v>99</v>
      </c>
      <c r="N32" s="14">
        <f>J16</f>
        <v>-1.004978600964E-8</v>
      </c>
    </row>
    <row r="33" spans="1:14" x14ac:dyDescent="0.3">
      <c r="A33" s="7" t="s">
        <v>104</v>
      </c>
      <c r="B33" s="7">
        <f>LN(1)</f>
        <v>0</v>
      </c>
      <c r="E33" s="7" t="s">
        <v>104</v>
      </c>
      <c r="F33" s="7">
        <f>LN(1)</f>
        <v>0</v>
      </c>
      <c r="J33" s="14" t="s">
        <v>100</v>
      </c>
      <c r="K33" s="14">
        <v>5.8630000000000004</v>
      </c>
      <c r="M33" s="14" t="s">
        <v>100</v>
      </c>
      <c r="N33" s="14">
        <f>F16</f>
        <v>-9.4979808584999986E-9</v>
      </c>
    </row>
    <row r="34" spans="1:14" x14ac:dyDescent="0.3">
      <c r="A34" s="7" t="s">
        <v>105</v>
      </c>
      <c r="B34" s="7">
        <f>(1/(LN(B25)))*ABS(LN(ABS(B31/B30)))</f>
        <v>7.1384762316120201</v>
      </c>
      <c r="E34" s="7" t="s">
        <v>105</v>
      </c>
      <c r="F34" s="7">
        <f>(1/(LN(F25)))*ABS(LN(ABS(F31/F30)))</f>
        <v>2.0358838915636825</v>
      </c>
      <c r="J34" s="14" t="s">
        <v>101</v>
      </c>
      <c r="K34" s="14">
        <f>K32-K31</f>
        <v>-9.0999999999999304E-2</v>
      </c>
      <c r="M34" s="14" t="s">
        <v>101</v>
      </c>
      <c r="N34" s="14">
        <f>N32-N31</f>
        <v>-8.8933503923899994E-9</v>
      </c>
    </row>
    <row r="35" spans="1:14" x14ac:dyDescent="0.3">
      <c r="A35" s="7" t="s">
        <v>106</v>
      </c>
      <c r="B35" s="7">
        <f>((B25^B34)*B27-B28)/((B25^B34)-1)</f>
        <v>-1.0053730434350679E-8</v>
      </c>
      <c r="E35" s="7" t="s">
        <v>106</v>
      </c>
      <c r="F35" s="7">
        <f>((F25^F34)*F27-F28)/((F25^F34)-1)</f>
        <v>-9.359635649546825E-10</v>
      </c>
      <c r="J35" s="14" t="s">
        <v>102</v>
      </c>
      <c r="K35" s="14">
        <f>K33-K32</f>
        <v>-0.10899999999999999</v>
      </c>
      <c r="M35" s="14" t="s">
        <v>102</v>
      </c>
      <c r="N35" s="14">
        <f>N33-N32</f>
        <v>5.5180515114000097E-10</v>
      </c>
    </row>
    <row r="36" spans="1:14" x14ac:dyDescent="0.3">
      <c r="A36" s="7" t="s">
        <v>107</v>
      </c>
      <c r="B36" s="7">
        <f>((B26^B34)*B28-B29)/((B26^B34)-1)</f>
        <v>-8.9422312826493168E-9</v>
      </c>
      <c r="E36" s="7" t="s">
        <v>107</v>
      </c>
      <c r="F36" s="7">
        <f>((F26^F34)*F28-F29)/((F26^F34)-1)</f>
        <v>-9.3596356495468188E-10</v>
      </c>
      <c r="J36" s="14" t="s">
        <v>103</v>
      </c>
      <c r="K36" s="14">
        <f>1*SIGN(K35/K34)</f>
        <v>1</v>
      </c>
      <c r="M36" s="14" t="s">
        <v>103</v>
      </c>
      <c r="N36" s="14">
        <f>1*SIGN(N35/N34)</f>
        <v>-1</v>
      </c>
    </row>
    <row r="37" spans="1:14" x14ac:dyDescent="0.3">
      <c r="A37" s="7" t="s">
        <v>108</v>
      </c>
      <c r="B37" s="7">
        <f>ABS((B27-B28)/(B27))</f>
        <v>5.4907154302658391E-2</v>
      </c>
      <c r="E37" s="7" t="s">
        <v>108</v>
      </c>
      <c r="F37" s="7">
        <f>ABS((F27-F28)/(F27))</f>
        <v>7.6001224066272117</v>
      </c>
      <c r="J37" s="14" t="s">
        <v>104</v>
      </c>
      <c r="K37" s="14">
        <f>LN(1)</f>
        <v>0</v>
      </c>
      <c r="M37" s="14" t="s">
        <v>104</v>
      </c>
      <c r="N37" s="14">
        <f>LN(1)</f>
        <v>0</v>
      </c>
    </row>
    <row r="38" spans="1:14" x14ac:dyDescent="0.3">
      <c r="A38" s="7" t="s">
        <v>109</v>
      </c>
      <c r="B38" s="7">
        <f>ABS((B35-B27)/(B35))</f>
        <v>3.9233444107494722E-4</v>
      </c>
      <c r="E38" s="7" t="s">
        <v>109</v>
      </c>
      <c r="F38" s="7">
        <f>ABS((F35-F27)/(F35))</f>
        <v>1.6891475047762468</v>
      </c>
      <c r="J38" s="14" t="s">
        <v>105</v>
      </c>
      <c r="K38" s="14">
        <f>(1/(LN(K29)))*ABS(LN(ABS(K35/K34)))</f>
        <v>0.44513910593794676</v>
      </c>
      <c r="M38" s="14" t="s">
        <v>105</v>
      </c>
      <c r="N38" s="14">
        <f>(1/(LN(N29)))*ABS(LN(ABS(N35/N34)))</f>
        <v>4.0104961985150887</v>
      </c>
    </row>
    <row r="39" spans="1:14" x14ac:dyDescent="0.3">
      <c r="A39" s="7" t="s">
        <v>110</v>
      </c>
      <c r="B39" s="7">
        <f>(1.25*B37)/((B25^B34)-1)</f>
        <v>4.9061053475366089E-4</v>
      </c>
      <c r="E39" s="7" t="s">
        <v>110</v>
      </c>
      <c r="F39" s="7">
        <f>(1.25*F37)/((F25^F34)-1)</f>
        <v>3.0638351968724762</v>
      </c>
      <c r="J39" s="14" t="s">
        <v>106</v>
      </c>
      <c r="K39" s="14">
        <f>((K29^K38)*K31-K32)/((K29^K38)-1)</f>
        <v>6.5230555555555325</v>
      </c>
      <c r="M39" s="14" t="s">
        <v>106</v>
      </c>
      <c r="N39" s="14">
        <f>((N29^N38)*N31-N32)/((N29^N38)-1)</f>
        <v>-5.6812776594853468E-10</v>
      </c>
    </row>
    <row r="40" spans="1:14" x14ac:dyDescent="0.3">
      <c r="J40" s="14" t="s">
        <v>107</v>
      </c>
      <c r="K40" s="14">
        <f>((K30^K38)*K32-K33)/((K30^K38)-1)</f>
        <v>6.7705755064082291</v>
      </c>
      <c r="M40" s="14" t="s">
        <v>107</v>
      </c>
      <c r="N40" s="14">
        <f>((N30^N38)*N32-N33)/((N30^N38)-1)</f>
        <v>-1.0086288709801464E-8</v>
      </c>
    </row>
    <row r="41" spans="1:14" x14ac:dyDescent="0.3">
      <c r="J41" s="14" t="s">
        <v>108</v>
      </c>
      <c r="K41" s="14">
        <f>ABS((K31-K32)/(K31))</f>
        <v>1.5009071416790254E-2</v>
      </c>
      <c r="M41" s="14" t="s">
        <v>108</v>
      </c>
      <c r="N41" s="14">
        <f>ABS((N31-N32)/(N31))</f>
        <v>7.6903117300540753</v>
      </c>
    </row>
    <row r="42" spans="1:14" x14ac:dyDescent="0.3">
      <c r="J42" s="14" t="s">
        <v>109</v>
      </c>
      <c r="K42" s="14">
        <f>ABS((K39-K31)/(K39))</f>
        <v>7.0527615722008427E-2</v>
      </c>
      <c r="M42" s="14" t="s">
        <v>109</v>
      </c>
      <c r="N42" s="14">
        <f>ABS((N39-N31)/(N39))</f>
        <v>1.0355203293386626</v>
      </c>
    </row>
    <row r="43" spans="1:14" x14ac:dyDescent="0.3">
      <c r="J43" s="14" t="s">
        <v>110</v>
      </c>
      <c r="K43" s="14">
        <f>(1.25*K41)/((K29^K38)-1)</f>
        <v>9.4848992981100735E-2</v>
      </c>
      <c r="M43" s="14" t="s">
        <v>110</v>
      </c>
      <c r="N43" s="14">
        <f>(1.25*N41)/((N29^N38)-1)</f>
        <v>0.63590640339803295</v>
      </c>
    </row>
    <row r="45" spans="1:14" x14ac:dyDescent="0.3">
      <c r="A45" s="1"/>
      <c r="B45" s="1" t="s">
        <v>123</v>
      </c>
      <c r="C45" s="1" t="s">
        <v>124</v>
      </c>
      <c r="D45" s="1"/>
      <c r="E45" s="1"/>
    </row>
    <row r="46" spans="1:14" x14ac:dyDescent="0.3">
      <c r="A46" s="19" t="s">
        <v>116</v>
      </c>
      <c r="B46" s="1" t="s">
        <v>121</v>
      </c>
      <c r="C46" s="1" t="s">
        <v>122</v>
      </c>
      <c r="D46" s="1"/>
      <c r="E46" s="1"/>
    </row>
    <row r="47" spans="1:14" x14ac:dyDescent="0.3">
      <c r="A47" s="1" t="s">
        <v>96</v>
      </c>
      <c r="B47" s="1">
        <f>B25</f>
        <v>2</v>
      </c>
      <c r="C47" s="1">
        <f>N29</f>
        <v>2</v>
      </c>
      <c r="D47" s="1"/>
      <c r="E47" s="1"/>
    </row>
    <row r="48" spans="1:14" x14ac:dyDescent="0.3">
      <c r="A48" s="1" t="s">
        <v>97</v>
      </c>
      <c r="B48" s="1">
        <f t="shared" ref="B48:C51" si="0">B26</f>
        <v>2</v>
      </c>
      <c r="C48" s="1">
        <f t="shared" ref="C48:C51" si="1">N30</f>
        <v>2</v>
      </c>
      <c r="D48" s="1"/>
      <c r="E48" s="1"/>
    </row>
    <row r="49" spans="1:5" x14ac:dyDescent="0.3">
      <c r="A49" s="1" t="s">
        <v>98</v>
      </c>
      <c r="B49" s="20">
        <f t="shared" si="0"/>
        <v>-1.004978600964E-8</v>
      </c>
      <c r="C49" s="20">
        <f t="shared" si="1"/>
        <v>-1.1564356172499999E-9</v>
      </c>
      <c r="D49" s="1"/>
      <c r="E49" s="1"/>
    </row>
    <row r="50" spans="1:5" x14ac:dyDescent="0.3">
      <c r="A50" s="1" t="s">
        <v>99</v>
      </c>
      <c r="B50" s="20">
        <f t="shared" si="0"/>
        <v>-9.4979808584999986E-9</v>
      </c>
      <c r="C50" s="20">
        <f t="shared" si="1"/>
        <v>-1.004978600964E-8</v>
      </c>
      <c r="D50" s="1"/>
      <c r="E50" s="1"/>
    </row>
    <row r="51" spans="1:5" x14ac:dyDescent="0.3">
      <c r="A51" s="1" t="s">
        <v>100</v>
      </c>
      <c r="B51" s="20">
        <f t="shared" si="0"/>
        <v>-8.7244547517000002E-8</v>
      </c>
      <c r="C51" s="20">
        <f t="shared" si="1"/>
        <v>-9.4979808584999986E-9</v>
      </c>
      <c r="D51" s="1"/>
      <c r="E51" s="1"/>
    </row>
    <row r="52" spans="1:5" x14ac:dyDescent="0.3">
      <c r="A52" s="1" t="s">
        <v>105</v>
      </c>
      <c r="B52" s="20">
        <f>B34</f>
        <v>7.1384762316120201</v>
      </c>
      <c r="C52" s="20">
        <f>N38</f>
        <v>4.0104961985150887</v>
      </c>
      <c r="D52" s="1"/>
      <c r="E52" s="1"/>
    </row>
    <row r="53" spans="1:5" x14ac:dyDescent="0.3">
      <c r="A53" s="1" t="s">
        <v>117</v>
      </c>
      <c r="B53" s="20">
        <f>B35</f>
        <v>-1.0053730434350679E-8</v>
      </c>
      <c r="C53" s="20">
        <f>N39</f>
        <v>-5.6812776594853468E-10</v>
      </c>
      <c r="D53" s="1"/>
      <c r="E53" s="1"/>
    </row>
    <row r="54" spans="1:5" x14ac:dyDescent="0.3">
      <c r="A54" s="1" t="s">
        <v>118</v>
      </c>
      <c r="B54" s="21">
        <f>B37</f>
        <v>5.4907154302658391E-2</v>
      </c>
      <c r="C54" s="21">
        <f>N41</f>
        <v>7.6903117300540753</v>
      </c>
      <c r="D54" s="1"/>
      <c r="E54" s="1"/>
    </row>
    <row r="55" spans="1:5" x14ac:dyDescent="0.3">
      <c r="A55" s="1" t="s">
        <v>119</v>
      </c>
      <c r="B55" s="21">
        <f>B38</f>
        <v>3.9233444107494722E-4</v>
      </c>
      <c r="C55" s="21">
        <f>N42</f>
        <v>1.0355203293386626</v>
      </c>
      <c r="D55" s="1"/>
      <c r="E55" s="1"/>
    </row>
    <row r="56" spans="1:5" x14ac:dyDescent="0.3">
      <c r="A56" s="1" t="s">
        <v>120</v>
      </c>
      <c r="B56" s="21">
        <f>B39</f>
        <v>4.9061053475366089E-4</v>
      </c>
      <c r="C56" s="21">
        <f>N43</f>
        <v>0.63590640339803295</v>
      </c>
      <c r="D56" s="1"/>
      <c r="E56" s="1"/>
    </row>
  </sheetData>
  <mergeCells count="9">
    <mergeCell ref="M8:N8"/>
    <mergeCell ref="J25:K25"/>
    <mergeCell ref="M25:N25"/>
    <mergeCell ref="M23:N23"/>
    <mergeCell ref="A8:B8"/>
    <mergeCell ref="E8:F8"/>
    <mergeCell ref="I8:J8"/>
    <mergeCell ref="A21:B21"/>
    <mergeCell ref="E21:F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D8EF-4BA4-4EB0-AAD4-70820DD84B39}">
  <dimension ref="A2:N74"/>
  <sheetViews>
    <sheetView topLeftCell="F41" workbookViewId="0">
      <selection activeCell="M47" sqref="M47:N57"/>
    </sheetView>
  </sheetViews>
  <sheetFormatPr defaultRowHeight="14.4" x14ac:dyDescent="0.3"/>
  <cols>
    <col min="1" max="1" width="20.77734375" customWidth="1"/>
    <col min="2" max="2" width="26.77734375" customWidth="1"/>
    <col min="3" max="3" width="20.77734375" customWidth="1"/>
    <col min="5" max="5" width="33.21875" customWidth="1"/>
    <col min="7" max="7" width="28.6640625" customWidth="1"/>
    <col min="9" max="9" width="31.77734375" customWidth="1"/>
    <col min="10" max="10" width="17.109375" customWidth="1"/>
    <col min="13" max="13" width="24.5546875" customWidth="1"/>
    <col min="14" max="14" width="24.6640625" customWidth="1"/>
  </cols>
  <sheetData>
    <row r="2" spans="1:14" x14ac:dyDescent="0.3">
      <c r="A2" t="s">
        <v>48</v>
      </c>
    </row>
    <row r="3" spans="1:14" x14ac:dyDescent="0.3">
      <c r="A3">
        <v>0.2</v>
      </c>
      <c r="B3" t="s">
        <v>71</v>
      </c>
    </row>
    <row r="6" spans="1:14" x14ac:dyDescent="0.3">
      <c r="A6" t="s">
        <v>90</v>
      </c>
      <c r="E6" t="s">
        <v>91</v>
      </c>
      <c r="I6" t="s">
        <v>92</v>
      </c>
    </row>
    <row r="8" spans="1:14" x14ac:dyDescent="0.3">
      <c r="A8" s="15" t="s">
        <v>43</v>
      </c>
      <c r="B8" s="15"/>
      <c r="E8" s="15" t="s">
        <v>26</v>
      </c>
      <c r="F8" s="15"/>
      <c r="I8" s="15" t="s">
        <v>27</v>
      </c>
      <c r="J8" s="15"/>
      <c r="M8" s="15" t="s">
        <v>113</v>
      </c>
      <c r="N8" s="15"/>
    </row>
    <row r="9" spans="1:14" x14ac:dyDescent="0.3">
      <c r="A9" s="4" t="s">
        <v>7</v>
      </c>
      <c r="B9" s="4">
        <v>10</v>
      </c>
      <c r="E9" s="4" t="s">
        <v>7</v>
      </c>
      <c r="F9" s="4">
        <f>20</f>
        <v>20</v>
      </c>
      <c r="I9" s="4" t="s">
        <v>7</v>
      </c>
      <c r="J9" s="4">
        <f>40</f>
        <v>40</v>
      </c>
      <c r="M9" s="4" t="s">
        <v>7</v>
      </c>
      <c r="N9" s="4">
        <v>80</v>
      </c>
    </row>
    <row r="10" spans="1:14" x14ac:dyDescent="0.3">
      <c r="A10" s="4" t="s">
        <v>11</v>
      </c>
      <c r="B10" s="4">
        <f>A3/B9</f>
        <v>0.02</v>
      </c>
      <c r="E10" s="4" t="s">
        <v>10</v>
      </c>
      <c r="F10" s="4">
        <f>A3/F9</f>
        <v>0.01</v>
      </c>
      <c r="I10" s="4" t="s">
        <v>8</v>
      </c>
      <c r="J10" s="4">
        <f>A3/J9</f>
        <v>5.0000000000000001E-3</v>
      </c>
      <c r="M10" s="4" t="s">
        <v>8</v>
      </c>
      <c r="N10" s="4">
        <f>A3/N9</f>
        <v>2.5000000000000001E-3</v>
      </c>
    </row>
    <row r="11" spans="1:14" x14ac:dyDescent="0.3">
      <c r="A11" s="4" t="s">
        <v>9</v>
      </c>
      <c r="B11" s="4">
        <f>-0.002337946</f>
        <v>-2.337946E-3</v>
      </c>
      <c r="E11" s="4" t="s">
        <v>9</v>
      </c>
      <c r="F11" s="4">
        <f>-0.002738384</f>
        <v>-2.738384E-3</v>
      </c>
      <c r="I11" s="4" t="s">
        <v>9</v>
      </c>
      <c r="J11" s="4">
        <f>-0.002531654</f>
        <v>-2.5316539999999999E-3</v>
      </c>
      <c r="M11" s="4" t="s">
        <v>9</v>
      </c>
      <c r="N11" s="4">
        <f>-0.0011635087</f>
        <v>-1.1635087E-3</v>
      </c>
    </row>
    <row r="12" spans="1:14" x14ac:dyDescent="0.3">
      <c r="A12" s="4" t="s">
        <v>46</v>
      </c>
      <c r="B12" s="4">
        <f>-0.0014375709</f>
        <v>-1.4375709000000001E-3</v>
      </c>
      <c r="E12" s="4" t="s">
        <v>46</v>
      </c>
      <c r="F12" s="4">
        <f>-0.0016569634</f>
        <v>-1.6569633999999999E-3</v>
      </c>
      <c r="I12" s="4" t="s">
        <v>46</v>
      </c>
      <c r="J12" s="4">
        <f>-0.001523399</f>
        <v>-1.5233989999999999E-3</v>
      </c>
      <c r="M12" s="4" t="s">
        <v>46</v>
      </c>
      <c r="N12" s="4">
        <f>-0.0006192801</f>
        <v>-6.1928009999999997E-4</v>
      </c>
    </row>
    <row r="13" spans="1:14" x14ac:dyDescent="0.3">
      <c r="A13" s="12" t="s">
        <v>47</v>
      </c>
      <c r="B13" s="12">
        <f>-0.00142407</f>
        <v>-1.4240699999999999E-3</v>
      </c>
      <c r="E13" s="12" t="s">
        <v>47</v>
      </c>
      <c r="F13" s="4">
        <f>-0.0016381938</f>
        <v>-1.6381938000000001E-3</v>
      </c>
      <c r="I13" s="12" t="s">
        <v>47</v>
      </c>
      <c r="J13" s="4">
        <f>-0.00158557797</f>
        <v>-1.5855779699999999E-3</v>
      </c>
      <c r="M13" s="12" t="s">
        <v>47</v>
      </c>
      <c r="N13" s="4">
        <f>-0.0006205037</f>
        <v>-6.2050370000000003E-4</v>
      </c>
    </row>
    <row r="14" spans="1:14" x14ac:dyDescent="0.3">
      <c r="A14" s="4" t="s">
        <v>44</v>
      </c>
      <c r="B14" s="4">
        <f>0.013873406</f>
        <v>1.3873406E-2</v>
      </c>
      <c r="E14" s="4" t="s">
        <v>44</v>
      </c>
      <c r="F14" s="4">
        <v>1.7228150000000001E-2</v>
      </c>
      <c r="I14" s="4" t="s">
        <v>44</v>
      </c>
      <c r="J14" s="4">
        <v>3.1722146999999999E-2</v>
      </c>
      <c r="M14" s="4" t="s">
        <v>44</v>
      </c>
      <c r="N14" s="4">
        <f>0.01437399</f>
        <v>1.437399E-2</v>
      </c>
    </row>
    <row r="15" spans="1:14" x14ac:dyDescent="0.3">
      <c r="A15" s="4" t="s">
        <v>45</v>
      </c>
      <c r="B15" s="4">
        <f>0.01454547</f>
        <v>1.454547E-2</v>
      </c>
      <c r="E15" s="4" t="s">
        <v>45</v>
      </c>
      <c r="F15" s="4">
        <f>0.017919729</f>
        <v>1.7919728999999999E-2</v>
      </c>
      <c r="I15" s="4" t="s">
        <v>45</v>
      </c>
      <c r="J15" s="4">
        <v>3.0665890000000001E-2</v>
      </c>
      <c r="M15" s="4" t="s">
        <v>45</v>
      </c>
      <c r="N15" s="4">
        <v>1.4449249000000001E-2</v>
      </c>
    </row>
    <row r="16" spans="1:14" x14ac:dyDescent="0.3">
      <c r="A16" s="13" t="s">
        <v>12</v>
      </c>
      <c r="B16" s="13">
        <f>B11+B12+B13-B14-B15</f>
        <v>-3.36184629E-2</v>
      </c>
      <c r="E16" s="13" t="s">
        <v>12</v>
      </c>
      <c r="F16" s="13">
        <f>F11+F12+F13-F14-F15</f>
        <v>-4.1181420199999999E-2</v>
      </c>
      <c r="I16" s="4" t="s">
        <v>12</v>
      </c>
      <c r="J16" s="4">
        <f>J11+J12+J13-J14-J15</f>
        <v>-6.8028667969999998E-2</v>
      </c>
      <c r="M16" s="4" t="s">
        <v>12</v>
      </c>
      <c r="N16" s="4">
        <f>N11+N12+N13-N14-N15</f>
        <v>-3.1226531500000002E-2</v>
      </c>
    </row>
    <row r="17" spans="1:14" x14ac:dyDescent="0.3">
      <c r="A17" s="13" t="s">
        <v>89</v>
      </c>
      <c r="B17" s="13">
        <f>SUM(B11:B15)</f>
        <v>2.3219289099999998E-2</v>
      </c>
      <c r="E17" s="13" t="s">
        <v>89</v>
      </c>
      <c r="F17" s="13">
        <f>SUM(F11:F15)</f>
        <v>2.9114337800000001E-2</v>
      </c>
      <c r="I17" s="13" t="s">
        <v>89</v>
      </c>
      <c r="J17" s="13">
        <f>SUM(J11:J15)</f>
        <v>5.6747406030000003E-2</v>
      </c>
      <c r="M17" s="13" t="s">
        <v>89</v>
      </c>
      <c r="N17" s="13">
        <f>SUM(N11:N15)</f>
        <v>2.6419946499999999E-2</v>
      </c>
    </row>
    <row r="21" spans="1:14" x14ac:dyDescent="0.3">
      <c r="A21" s="17" t="s">
        <v>111</v>
      </c>
      <c r="B21" s="17"/>
      <c r="E21" s="17" t="s">
        <v>112</v>
      </c>
      <c r="F21" s="17"/>
    </row>
    <row r="22" spans="1:14" x14ac:dyDescent="0.3">
      <c r="A22" s="14" t="s">
        <v>93</v>
      </c>
      <c r="B22" s="14">
        <f>J10</f>
        <v>5.0000000000000001E-3</v>
      </c>
      <c r="E22" s="14" t="s">
        <v>93</v>
      </c>
      <c r="F22" s="14">
        <f>N10</f>
        <v>2.5000000000000001E-3</v>
      </c>
      <c r="J22" t="s">
        <v>114</v>
      </c>
    </row>
    <row r="23" spans="1:14" x14ac:dyDescent="0.3">
      <c r="A23" s="14" t="s">
        <v>94</v>
      </c>
      <c r="B23" s="14">
        <f>F10</f>
        <v>0.01</v>
      </c>
      <c r="E23" s="14" t="s">
        <v>94</v>
      </c>
      <c r="F23" s="14">
        <f>J10</f>
        <v>5.0000000000000001E-3</v>
      </c>
      <c r="M23" s="18" t="s">
        <v>115</v>
      </c>
      <c r="N23" s="18"/>
    </row>
    <row r="24" spans="1:14" x14ac:dyDescent="0.3">
      <c r="A24" s="14" t="s">
        <v>95</v>
      </c>
      <c r="B24" s="14">
        <f>B10</f>
        <v>0.02</v>
      </c>
      <c r="E24" s="14" t="s">
        <v>95</v>
      </c>
      <c r="F24" s="14">
        <f>F10</f>
        <v>0.01</v>
      </c>
    </row>
    <row r="25" spans="1:14" x14ac:dyDescent="0.3">
      <c r="A25" s="14" t="s">
        <v>96</v>
      </c>
      <c r="B25" s="14">
        <f>B23/B22</f>
        <v>2</v>
      </c>
      <c r="E25" s="14" t="s">
        <v>96</v>
      </c>
      <c r="F25" s="14">
        <f>F23/F22</f>
        <v>2</v>
      </c>
      <c r="J25" s="17" t="s">
        <v>112</v>
      </c>
      <c r="K25" s="17"/>
      <c r="M25" s="17" t="s">
        <v>112</v>
      </c>
      <c r="N25" s="17"/>
    </row>
    <row r="26" spans="1:14" x14ac:dyDescent="0.3">
      <c r="A26" s="14" t="s">
        <v>97</v>
      </c>
      <c r="B26" s="14">
        <f>B24/B23</f>
        <v>2</v>
      </c>
      <c r="E26" s="14" t="s">
        <v>97</v>
      </c>
      <c r="F26" s="14">
        <f>F24/F23</f>
        <v>2</v>
      </c>
      <c r="J26" s="14" t="s">
        <v>93</v>
      </c>
      <c r="K26" s="14"/>
      <c r="M26" s="14" t="s">
        <v>93</v>
      </c>
      <c r="N26" s="14">
        <f>N10</f>
        <v>2.5000000000000001E-3</v>
      </c>
    </row>
    <row r="27" spans="1:14" x14ac:dyDescent="0.3">
      <c r="A27" s="14" t="s">
        <v>98</v>
      </c>
      <c r="B27" s="14">
        <f>J16</f>
        <v>-6.8028667969999998E-2</v>
      </c>
      <c r="E27" s="14" t="s">
        <v>98</v>
      </c>
      <c r="F27" s="14">
        <f>N17</f>
        <v>2.6419946499999999E-2</v>
      </c>
      <c r="J27" s="14" t="s">
        <v>94</v>
      </c>
      <c r="K27" s="14">
        <f>O14</f>
        <v>0</v>
      </c>
      <c r="M27" s="14" t="s">
        <v>94</v>
      </c>
      <c r="N27" s="14">
        <f>J10</f>
        <v>5.0000000000000001E-3</v>
      </c>
    </row>
    <row r="28" spans="1:14" x14ac:dyDescent="0.3">
      <c r="A28" s="14" t="s">
        <v>99</v>
      </c>
      <c r="B28" s="14">
        <f>F16</f>
        <v>-4.1181420199999999E-2</v>
      </c>
      <c r="E28" s="14" t="s">
        <v>99</v>
      </c>
      <c r="F28" s="14">
        <f>J17</f>
        <v>5.6747406030000003E-2</v>
      </c>
      <c r="J28" s="14" t="s">
        <v>95</v>
      </c>
      <c r="K28" s="14">
        <f>K14</f>
        <v>0</v>
      </c>
      <c r="M28" s="14" t="s">
        <v>95</v>
      </c>
      <c r="N28" s="14">
        <f>0.01</f>
        <v>0.01</v>
      </c>
    </row>
    <row r="29" spans="1:14" x14ac:dyDescent="0.3">
      <c r="A29" s="14" t="s">
        <v>100</v>
      </c>
      <c r="B29" s="14">
        <f>B16</f>
        <v>-3.36184629E-2</v>
      </c>
      <c r="E29" s="14" t="s">
        <v>100</v>
      </c>
      <c r="F29" s="14">
        <f>F17</f>
        <v>2.9114337800000001E-2</v>
      </c>
      <c r="J29" s="14" t="s">
        <v>96</v>
      </c>
      <c r="K29" s="14">
        <v>1.5</v>
      </c>
      <c r="M29" s="14" t="s">
        <v>96</v>
      </c>
      <c r="N29" s="14">
        <f>N27/N26</f>
        <v>2</v>
      </c>
    </row>
    <row r="30" spans="1:14" x14ac:dyDescent="0.3">
      <c r="A30" s="14" t="s">
        <v>101</v>
      </c>
      <c r="B30" s="14">
        <f>B28-B27</f>
        <v>2.6847247769999999E-2</v>
      </c>
      <c r="E30" s="14" t="s">
        <v>101</v>
      </c>
      <c r="F30" s="14">
        <f>F28-F27</f>
        <v>3.0327459530000003E-2</v>
      </c>
      <c r="J30" s="14" t="s">
        <v>97</v>
      </c>
      <c r="K30" s="14">
        <v>1.333</v>
      </c>
      <c r="M30" s="14" t="s">
        <v>97</v>
      </c>
      <c r="N30" s="14">
        <f>N28/N27</f>
        <v>2</v>
      </c>
    </row>
    <row r="31" spans="1:14" x14ac:dyDescent="0.3">
      <c r="A31" s="14" t="s">
        <v>102</v>
      </c>
      <c r="B31" s="14">
        <f>B29-B28</f>
        <v>7.5629572999999992E-3</v>
      </c>
      <c r="E31" s="14" t="s">
        <v>102</v>
      </c>
      <c r="F31" s="14">
        <f>F29-F28</f>
        <v>-2.7633068230000002E-2</v>
      </c>
      <c r="J31" s="14" t="s">
        <v>98</v>
      </c>
      <c r="K31" s="14">
        <v>6.0629999999999997</v>
      </c>
      <c r="M31" s="14" t="s">
        <v>98</v>
      </c>
      <c r="N31" s="14">
        <f>N16</f>
        <v>-3.1226531500000002E-2</v>
      </c>
    </row>
    <row r="32" spans="1:14" x14ac:dyDescent="0.3">
      <c r="A32" s="14" t="s">
        <v>103</v>
      </c>
      <c r="B32" s="14">
        <f>1*SIGN(B31/B30)</f>
        <v>1</v>
      </c>
      <c r="E32" s="14" t="s">
        <v>103</v>
      </c>
      <c r="F32" s="14">
        <f>1*SIGN(F31/F30)</f>
        <v>-1</v>
      </c>
      <c r="J32" s="14" t="s">
        <v>99</v>
      </c>
      <c r="K32" s="14">
        <v>5.9720000000000004</v>
      </c>
      <c r="M32" s="14" t="s">
        <v>99</v>
      </c>
      <c r="N32" s="14">
        <f>J16</f>
        <v>-6.8028667969999998E-2</v>
      </c>
    </row>
    <row r="33" spans="1:14" x14ac:dyDescent="0.3">
      <c r="A33" s="14" t="s">
        <v>104</v>
      </c>
      <c r="B33" s="14">
        <f>LN(1)</f>
        <v>0</v>
      </c>
      <c r="E33" s="14" t="s">
        <v>104</v>
      </c>
      <c r="F33" s="14">
        <f>LN(1)</f>
        <v>0</v>
      </c>
      <c r="J33" s="14" t="s">
        <v>100</v>
      </c>
      <c r="K33" s="14">
        <v>5.8630000000000004</v>
      </c>
      <c r="M33" s="14" t="s">
        <v>100</v>
      </c>
      <c r="N33" s="14">
        <f>F16</f>
        <v>-4.1181420199999999E-2</v>
      </c>
    </row>
    <row r="34" spans="1:14" x14ac:dyDescent="0.3">
      <c r="A34" s="14" t="s">
        <v>105</v>
      </c>
      <c r="B34" s="14">
        <f>(1/(LN(B25)))*ABS(LN(ABS(B31/B30)))</f>
        <v>1.8277518200632188</v>
      </c>
      <c r="E34" s="14" t="s">
        <v>105</v>
      </c>
      <c r="F34" s="14">
        <f>(1/(LN(F25)))*ABS(LN(ABS(F31/F30)))</f>
        <v>0.13422889109074199</v>
      </c>
      <c r="J34" s="14" t="s">
        <v>101</v>
      </c>
      <c r="K34" s="14">
        <f>K32-K31</f>
        <v>-9.0999999999999304E-2</v>
      </c>
      <c r="M34" s="14" t="s">
        <v>101</v>
      </c>
      <c r="N34" s="14">
        <f>N32-N31</f>
        <v>-3.6802136469999996E-2</v>
      </c>
    </row>
    <row r="35" spans="1:14" x14ac:dyDescent="0.3">
      <c r="A35" s="14" t="s">
        <v>106</v>
      </c>
      <c r="B35" s="14">
        <f>((B25^B34)*B27-B28)/((B25^B34)-1)</f>
        <v>-7.8557683223265382E-2</v>
      </c>
      <c r="E35" s="14" t="s">
        <v>106</v>
      </c>
      <c r="F35" s="14">
        <f>((F25^F34)*F27-F28)/((F25^F34)-1)</f>
        <v>-0.28461162431714682</v>
      </c>
      <c r="J35" s="14" t="s">
        <v>102</v>
      </c>
      <c r="K35" s="14">
        <f>K33-K32</f>
        <v>-0.10899999999999999</v>
      </c>
      <c r="M35" s="14" t="s">
        <v>102</v>
      </c>
      <c r="N35" s="14">
        <f>N33-N32</f>
        <v>2.6847247769999999E-2</v>
      </c>
    </row>
    <row r="36" spans="1:14" x14ac:dyDescent="0.3">
      <c r="A36" s="14" t="s">
        <v>107</v>
      </c>
      <c r="B36" s="14">
        <f>((B26^B34)*B28-B29)/((B26^B34)-1)</f>
        <v>-4.4147478153265376E-2</v>
      </c>
      <c r="E36" s="14" t="s">
        <v>107</v>
      </c>
      <c r="F36" s="14">
        <f>((F26^F34)*F28-F29)/((F26^F34)-1)</f>
        <v>0.34014590861714672</v>
      </c>
      <c r="J36" s="14" t="s">
        <v>103</v>
      </c>
      <c r="K36" s="14">
        <f>1*SIGN(K35/K34)</f>
        <v>1</v>
      </c>
      <c r="M36" s="14" t="s">
        <v>103</v>
      </c>
      <c r="N36" s="14">
        <f>1*SIGN(N35/N34)</f>
        <v>-1</v>
      </c>
    </row>
    <row r="37" spans="1:14" x14ac:dyDescent="0.3">
      <c r="A37" s="14" t="s">
        <v>108</v>
      </c>
      <c r="B37" s="14">
        <f>ABS((B27-B28)/(B27))</f>
        <v>0.394646089231666</v>
      </c>
      <c r="E37" s="14" t="s">
        <v>108</v>
      </c>
      <c r="F37" s="14">
        <f>ABS((F27-F28)/(F27))</f>
        <v>1.1479001113798624</v>
      </c>
      <c r="J37" s="14" t="s">
        <v>104</v>
      </c>
      <c r="K37" s="14">
        <f>LN(1)</f>
        <v>0</v>
      </c>
      <c r="M37" s="14" t="s">
        <v>104</v>
      </c>
      <c r="N37" s="14">
        <f>LN(1)</f>
        <v>0</v>
      </c>
    </row>
    <row r="38" spans="1:14" x14ac:dyDescent="0.3">
      <c r="A38" s="14" t="s">
        <v>109</v>
      </c>
      <c r="B38" s="14">
        <f>ABS((B35-B27)/(B35))</f>
        <v>0.13402909583447523</v>
      </c>
      <c r="E38" s="14" t="s">
        <v>109</v>
      </c>
      <c r="F38" s="14">
        <f>ABS((F35-F27)/(F35))</f>
        <v>1.0928280654853362</v>
      </c>
      <c r="J38" s="14" t="s">
        <v>105</v>
      </c>
      <c r="K38" s="14">
        <f>(1/(LN(K29)))*ABS(LN(ABS(K35/K34)))</f>
        <v>0.44513910593794676</v>
      </c>
      <c r="M38" s="14" t="s">
        <v>105</v>
      </c>
      <c r="N38" s="14">
        <f>(1/(LN(N29)))*ABS(LN(ABS(N35/N34)))</f>
        <v>0.45501532256760868</v>
      </c>
    </row>
    <row r="39" spans="1:14" x14ac:dyDescent="0.3">
      <c r="A39" s="14" t="s">
        <v>110</v>
      </c>
      <c r="B39" s="14">
        <f>(1.25*B37)/((B25^B34)-1)</f>
        <v>0.19346651138878276</v>
      </c>
      <c r="E39" s="14" t="s">
        <v>110</v>
      </c>
      <c r="F39" s="14">
        <f>(1.25*F37)/((F25^F34)-1)</f>
        <v>14.715755140587946</v>
      </c>
      <c r="J39" s="14" t="s">
        <v>106</v>
      </c>
      <c r="K39" s="14">
        <f>((K29^K38)*K31-K32)/((K29^K38)-1)</f>
        <v>6.5230555555555325</v>
      </c>
      <c r="M39" s="14" t="s">
        <v>106</v>
      </c>
      <c r="N39" s="14">
        <f>((N29^N38)*N31-N32)/((N29^N38)-1)</f>
        <v>6.8024811840025803E-2</v>
      </c>
    </row>
    <row r="40" spans="1:14" x14ac:dyDescent="0.3">
      <c r="J40" s="14" t="s">
        <v>107</v>
      </c>
      <c r="K40" s="14">
        <f>((K30^K38)*K32-K33)/((K30^K38)-1)</f>
        <v>6.7705755064082291</v>
      </c>
      <c r="M40" s="14" t="s">
        <v>107</v>
      </c>
      <c r="N40" s="14">
        <f>((N30^N38)*N32-N33)/((N30^N38)-1)</f>
        <v>-0.14043276354002582</v>
      </c>
    </row>
    <row r="41" spans="1:14" x14ac:dyDescent="0.3">
      <c r="J41" s="14" t="s">
        <v>108</v>
      </c>
      <c r="K41" s="14">
        <f>ABS((K31-K32)/(K31))</f>
        <v>1.5009071416790254E-2</v>
      </c>
      <c r="M41" s="14" t="s">
        <v>108</v>
      </c>
      <c r="N41" s="14">
        <f>ABS((N31-N32)/(N31))</f>
        <v>1.1785534512534637</v>
      </c>
    </row>
    <row r="42" spans="1:14" x14ac:dyDescent="0.3">
      <c r="J42" s="14" t="s">
        <v>109</v>
      </c>
      <c r="K42" s="14">
        <f>ABS((K39-K31)/(K39))</f>
        <v>7.0527615722008427E-2</v>
      </c>
      <c r="M42" s="14" t="s">
        <v>109</v>
      </c>
      <c r="N42" s="14">
        <f>ABS((N39-N31)/(N39))</f>
        <v>1.4590462017511427</v>
      </c>
    </row>
    <row r="43" spans="1:14" x14ac:dyDescent="0.3">
      <c r="J43" s="14" t="s">
        <v>110</v>
      </c>
      <c r="K43" s="14">
        <f>(1.25*K41)/((K29^K38)-1)</f>
        <v>9.4848992981100735E-2</v>
      </c>
      <c r="M43" s="14" t="s">
        <v>110</v>
      </c>
      <c r="N43" s="14">
        <f>(1.25*N41)/((N29^N38)-1)</f>
        <v>3.9730374529438937</v>
      </c>
    </row>
    <row r="45" spans="1:14" x14ac:dyDescent="0.3">
      <c r="A45" s="1"/>
      <c r="B45" s="1" t="s">
        <v>123</v>
      </c>
      <c r="C45" t="s">
        <v>125</v>
      </c>
      <c r="D45" s="1"/>
      <c r="E45" s="1"/>
      <c r="G45" s="1" t="s">
        <v>124</v>
      </c>
    </row>
    <row r="46" spans="1:14" x14ac:dyDescent="0.3">
      <c r="A46" s="19" t="s">
        <v>116</v>
      </c>
      <c r="B46" s="1" t="s">
        <v>121</v>
      </c>
      <c r="D46" s="1"/>
      <c r="E46" s="1"/>
      <c r="G46" s="1" t="s">
        <v>122</v>
      </c>
    </row>
    <row r="47" spans="1:14" x14ac:dyDescent="0.3">
      <c r="A47" s="1" t="s">
        <v>96</v>
      </c>
      <c r="B47" s="1">
        <f>B25</f>
        <v>2</v>
      </c>
      <c r="D47" s="1"/>
      <c r="E47" s="1"/>
      <c r="G47" s="1">
        <f>N29</f>
        <v>2</v>
      </c>
      <c r="I47" s="22" t="s">
        <v>126</v>
      </c>
      <c r="J47" s="22"/>
      <c r="M47" s="23" t="s">
        <v>116</v>
      </c>
      <c r="N47" s="14" t="s">
        <v>127</v>
      </c>
    </row>
    <row r="48" spans="1:14" x14ac:dyDescent="0.3">
      <c r="A48" s="1" t="s">
        <v>97</v>
      </c>
      <c r="B48" s="1">
        <f t="shared" ref="B48:C51" si="0">B26</f>
        <v>2</v>
      </c>
      <c r="D48" s="1"/>
      <c r="E48" s="1"/>
      <c r="G48" s="1">
        <f>N30</f>
        <v>2</v>
      </c>
      <c r="I48" s="23" t="s">
        <v>116</v>
      </c>
      <c r="J48" s="14" t="s">
        <v>127</v>
      </c>
      <c r="M48" s="14" t="s">
        <v>96</v>
      </c>
      <c r="N48" s="14">
        <v>4</v>
      </c>
    </row>
    <row r="49" spans="1:14" x14ac:dyDescent="0.3">
      <c r="A49" s="1" t="s">
        <v>98</v>
      </c>
      <c r="B49" s="20">
        <f t="shared" si="0"/>
        <v>-6.8028667969999998E-2</v>
      </c>
      <c r="D49" s="1"/>
      <c r="E49" s="1"/>
      <c r="G49" s="20">
        <f>N31</f>
        <v>-3.1226531500000002E-2</v>
      </c>
      <c r="I49" s="14" t="s">
        <v>96</v>
      </c>
      <c r="J49" s="14">
        <f>F10/N10</f>
        <v>4</v>
      </c>
      <c r="M49" s="14" t="s">
        <v>97</v>
      </c>
      <c r="N49" s="14">
        <v>2</v>
      </c>
    </row>
    <row r="50" spans="1:14" x14ac:dyDescent="0.3">
      <c r="A50" s="1" t="s">
        <v>99</v>
      </c>
      <c r="B50" s="20">
        <f t="shared" si="0"/>
        <v>-4.1181420199999999E-2</v>
      </c>
      <c r="D50" s="1"/>
      <c r="E50" s="1"/>
      <c r="G50" s="20">
        <f>N32</f>
        <v>-6.8028667969999998E-2</v>
      </c>
      <c r="I50" s="14" t="s">
        <v>97</v>
      </c>
      <c r="J50" s="14">
        <f>B10/F10</f>
        <v>2</v>
      </c>
      <c r="M50" s="14" t="s">
        <v>98</v>
      </c>
      <c r="N50" s="14">
        <v>2.6419946499999999E-2</v>
      </c>
    </row>
    <row r="51" spans="1:14" x14ac:dyDescent="0.3">
      <c r="A51" s="1" t="s">
        <v>100</v>
      </c>
      <c r="B51" s="20">
        <f t="shared" si="0"/>
        <v>-3.36184629E-2</v>
      </c>
      <c r="D51" s="1"/>
      <c r="E51" s="1"/>
      <c r="G51" s="20">
        <f>N33</f>
        <v>-4.1181420199999999E-2</v>
      </c>
      <c r="I51" s="14" t="s">
        <v>98</v>
      </c>
      <c r="J51" s="24">
        <f>N17</f>
        <v>2.6419946499999999E-2</v>
      </c>
      <c r="M51" s="14" t="s">
        <v>99</v>
      </c>
      <c r="N51" s="14">
        <v>2.9114337800000001E-2</v>
      </c>
    </row>
    <row r="52" spans="1:14" x14ac:dyDescent="0.3">
      <c r="A52" s="1" t="s">
        <v>105</v>
      </c>
      <c r="B52" s="20">
        <f>B34</f>
        <v>1.8277518200632188</v>
      </c>
      <c r="D52" s="1"/>
      <c r="E52" s="1"/>
      <c r="G52" s="20">
        <f>N38</f>
        <v>0.45501532256760868</v>
      </c>
      <c r="I52" s="14" t="s">
        <v>99</v>
      </c>
      <c r="J52" s="24">
        <f>F17</f>
        <v>2.9114337800000001E-2</v>
      </c>
      <c r="M52" s="14" t="s">
        <v>100</v>
      </c>
      <c r="N52" s="14">
        <v>2.3219289099999998E-2</v>
      </c>
    </row>
    <row r="53" spans="1:14" x14ac:dyDescent="0.3">
      <c r="A53" s="1" t="s">
        <v>117</v>
      </c>
      <c r="B53" s="20">
        <f>B35</f>
        <v>-7.8557683223265382E-2</v>
      </c>
      <c r="D53" s="1"/>
      <c r="E53" s="1"/>
      <c r="G53" s="20">
        <f>N39</f>
        <v>6.8024811840025803E-2</v>
      </c>
      <c r="I53" s="14" t="s">
        <v>100</v>
      </c>
      <c r="J53" s="24">
        <f>B17</f>
        <v>2.3219289099999998E-2</v>
      </c>
      <c r="M53" s="14" t="s">
        <v>105</v>
      </c>
      <c r="N53" s="14">
        <f>J58</f>
        <v>0.56477217321986883</v>
      </c>
    </row>
    <row r="54" spans="1:14" x14ac:dyDescent="0.3">
      <c r="A54" s="1" t="s">
        <v>118</v>
      </c>
      <c r="B54" s="21">
        <f>B37</f>
        <v>0.394646089231666</v>
      </c>
      <c r="D54" s="1"/>
      <c r="E54" s="1"/>
      <c r="G54" s="21">
        <f>N41</f>
        <v>1.1785534512534637</v>
      </c>
      <c r="I54" s="14" t="s">
        <v>101</v>
      </c>
      <c r="J54" s="14">
        <f>J52-J51</f>
        <v>2.6943913000000014E-3</v>
      </c>
      <c r="M54" s="14" t="s">
        <v>117</v>
      </c>
      <c r="N54" s="14">
        <f>J59</f>
        <v>2.4151742324971553E-2</v>
      </c>
    </row>
    <row r="55" spans="1:14" x14ac:dyDescent="0.3">
      <c r="A55" s="1" t="s">
        <v>119</v>
      </c>
      <c r="B55" s="21">
        <f>B38</f>
        <v>0.13402909583447523</v>
      </c>
      <c r="D55" s="1"/>
      <c r="E55" s="1"/>
      <c r="G55" s="21">
        <f>N42</f>
        <v>1.4590462017511427</v>
      </c>
      <c r="I55" s="14" t="s">
        <v>102</v>
      </c>
      <c r="J55" s="14">
        <f>J53-J52</f>
        <v>-5.8950487000000024E-3</v>
      </c>
      <c r="M55" s="14" t="s">
        <v>118</v>
      </c>
      <c r="N55" s="26">
        <f>J61</f>
        <v>0.1019832231681469</v>
      </c>
    </row>
    <row r="56" spans="1:14" x14ac:dyDescent="0.3">
      <c r="A56" s="1" t="s">
        <v>120</v>
      </c>
      <c r="B56" s="21">
        <f>B39</f>
        <v>0.19346651138878276</v>
      </c>
      <c r="D56" s="1"/>
      <c r="E56" s="1"/>
      <c r="G56" s="21">
        <f>N43</f>
        <v>3.9730374529438937</v>
      </c>
      <c r="I56" s="14" t="s">
        <v>103</v>
      </c>
      <c r="J56" s="14">
        <f>1*SIGN(J55/J54)</f>
        <v>-1</v>
      </c>
      <c r="M56" s="14" t="s">
        <v>119</v>
      </c>
      <c r="N56" s="26">
        <f>J62</f>
        <v>9.3914722362835476E-2</v>
      </c>
    </row>
    <row r="57" spans="1:14" x14ac:dyDescent="0.3">
      <c r="I57" s="14" t="s">
        <v>104</v>
      </c>
      <c r="J57" s="14">
        <f>LN(1)</f>
        <v>0</v>
      </c>
      <c r="M57" s="14" t="s">
        <v>120</v>
      </c>
      <c r="N57" s="26">
        <f>J63</f>
        <v>0.1073149492859707</v>
      </c>
    </row>
    <row r="58" spans="1:14" x14ac:dyDescent="0.3">
      <c r="I58" s="14" t="s">
        <v>105</v>
      </c>
      <c r="J58" s="14">
        <f>(1/(LN(J49)))*ABS(LN(ABS(J55/J54)))</f>
        <v>0.56477217321986883</v>
      </c>
    </row>
    <row r="59" spans="1:14" x14ac:dyDescent="0.3">
      <c r="I59" s="14" t="s">
        <v>106</v>
      </c>
      <c r="J59" s="14">
        <f>((J49^J58)*J51-J52)/((J49^J58)-1)</f>
        <v>2.4151742324971553E-2</v>
      </c>
    </row>
    <row r="60" spans="1:14" x14ac:dyDescent="0.3">
      <c r="I60" s="14" t="s">
        <v>107</v>
      </c>
      <c r="J60" s="25">
        <f>((J50^J58)*J52-J53)/((J50^J58)-1)</f>
        <v>4.1417375758453077E-2</v>
      </c>
    </row>
    <row r="61" spans="1:14" x14ac:dyDescent="0.3">
      <c r="I61" s="14" t="s">
        <v>108</v>
      </c>
      <c r="J61" s="25">
        <f>ABS((J51-J52)/(J51))</f>
        <v>0.1019832231681469</v>
      </c>
    </row>
    <row r="62" spans="1:14" x14ac:dyDescent="0.3">
      <c r="I62" s="14" t="s">
        <v>109</v>
      </c>
      <c r="J62" s="25">
        <f>ABS((J59-J51)/(J59))</f>
        <v>9.3914722362835476E-2</v>
      </c>
    </row>
    <row r="63" spans="1:14" x14ac:dyDescent="0.3">
      <c r="I63" s="14" t="s">
        <v>110</v>
      </c>
      <c r="J63" s="25">
        <f>(1.25*J61)/((J49^J58)-1)</f>
        <v>0.1073149492859707</v>
      </c>
    </row>
    <row r="70" spans="9:9" x14ac:dyDescent="0.3">
      <c r="I70" s="1" t="s">
        <v>105</v>
      </c>
    </row>
    <row r="71" spans="9:9" x14ac:dyDescent="0.3">
      <c r="I71" s="1" t="s">
        <v>117</v>
      </c>
    </row>
    <row r="72" spans="9:9" x14ac:dyDescent="0.3">
      <c r="I72" s="1" t="s">
        <v>118</v>
      </c>
    </row>
    <row r="73" spans="9:9" x14ac:dyDescent="0.3">
      <c r="I73" s="1" t="s">
        <v>119</v>
      </c>
    </row>
    <row r="74" spans="9:9" x14ac:dyDescent="0.3">
      <c r="I74" s="1" t="s">
        <v>120</v>
      </c>
    </row>
  </sheetData>
  <mergeCells count="9">
    <mergeCell ref="M23:N23"/>
    <mergeCell ref="J25:K25"/>
    <mergeCell ref="M25:N25"/>
    <mergeCell ref="A8:B8"/>
    <mergeCell ref="E8:F8"/>
    <mergeCell ref="I8:J8"/>
    <mergeCell ref="M8:N8"/>
    <mergeCell ref="A21:B21"/>
    <mergeCell ref="E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FB16-6788-428D-9D0D-AB94DB50CF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E724-FF91-407E-98A1-DACC9B030227}">
  <dimension ref="A3:I53"/>
  <sheetViews>
    <sheetView topLeftCell="B28" workbookViewId="0">
      <selection activeCell="F48" sqref="F48"/>
    </sheetView>
  </sheetViews>
  <sheetFormatPr defaultRowHeight="14.4" x14ac:dyDescent="0.3"/>
  <cols>
    <col min="1" max="1" width="22" customWidth="1"/>
    <col min="2" max="2" width="14.88671875" customWidth="1"/>
    <col min="3" max="3" width="13.5546875" customWidth="1"/>
    <col min="4" max="4" width="21.6640625" customWidth="1"/>
    <col min="5" max="5" width="19.77734375" customWidth="1"/>
    <col min="6" max="7" width="17.6640625" customWidth="1"/>
    <col min="8" max="8" width="12.88671875" customWidth="1"/>
  </cols>
  <sheetData>
    <row r="3" spans="1:8" x14ac:dyDescent="0.3">
      <c r="A3" t="s">
        <v>48</v>
      </c>
      <c r="B3">
        <v>0.2</v>
      </c>
    </row>
    <row r="5" spans="1:8" x14ac:dyDescent="0.3">
      <c r="A5" s="2"/>
      <c r="B5" s="2"/>
      <c r="C5" s="2"/>
      <c r="D5" s="2"/>
      <c r="E5" s="2"/>
      <c r="F5" s="2"/>
      <c r="G5" s="2"/>
      <c r="H5" s="2"/>
    </row>
    <row r="6" spans="1:8" x14ac:dyDescent="0.3">
      <c r="A6" s="15" t="s">
        <v>43</v>
      </c>
      <c r="B6" s="15"/>
      <c r="C6" s="2"/>
      <c r="D6" s="15" t="s">
        <v>26</v>
      </c>
      <c r="E6" s="15"/>
      <c r="F6" s="2"/>
      <c r="G6" s="15" t="s">
        <v>27</v>
      </c>
      <c r="H6" s="15"/>
    </row>
    <row r="7" spans="1:8" x14ac:dyDescent="0.3">
      <c r="A7" s="4" t="s">
        <v>7</v>
      </c>
      <c r="B7" s="4">
        <v>10</v>
      </c>
      <c r="C7" s="2"/>
      <c r="D7" s="4" t="s">
        <v>7</v>
      </c>
      <c r="E7" s="4">
        <f>20</f>
        <v>20</v>
      </c>
      <c r="F7" s="2"/>
      <c r="G7" s="4" t="s">
        <v>7</v>
      </c>
      <c r="H7" s="4">
        <f>40</f>
        <v>40</v>
      </c>
    </row>
    <row r="8" spans="1:8" x14ac:dyDescent="0.3">
      <c r="A8" s="4" t="s">
        <v>8</v>
      </c>
      <c r="B8" s="4">
        <f>B3/B7</f>
        <v>0.02</v>
      </c>
      <c r="C8" s="2"/>
      <c r="D8" s="4" t="s">
        <v>10</v>
      </c>
      <c r="E8" s="4">
        <f>B3/E7</f>
        <v>0.01</v>
      </c>
      <c r="F8" s="2"/>
      <c r="G8" s="4" t="s">
        <v>11</v>
      </c>
      <c r="H8" s="4" t="e">
        <f>#REF!/H7</f>
        <v>#REF!</v>
      </c>
    </row>
    <row r="9" spans="1:8" x14ac:dyDescent="0.3">
      <c r="A9" s="4" t="s">
        <v>9</v>
      </c>
      <c r="B9" s="4">
        <f>-0.00000000611528451</f>
        <v>-6.11528451E-9</v>
      </c>
      <c r="C9" s="2"/>
      <c r="D9" s="4" t="s">
        <v>9</v>
      </c>
      <c r="E9" s="4">
        <f>-0.000000001389489157</f>
        <v>-1.3894891570000001E-9</v>
      </c>
      <c r="F9" s="2"/>
      <c r="G9" s="4" t="s">
        <v>9</v>
      </c>
      <c r="H9" s="4"/>
    </row>
    <row r="10" spans="1:8" x14ac:dyDescent="0.3">
      <c r="A10" s="4" t="s">
        <v>46</v>
      </c>
      <c r="B10" s="4">
        <f>-0.000000000254709288</f>
        <v>-2.5470928799999999E-10</v>
      </c>
      <c r="C10" s="2"/>
      <c r="D10" s="4" t="s">
        <v>46</v>
      </c>
      <c r="E10" s="4">
        <f>-0.0000000000583656055</f>
        <v>-5.8365605500000001E-11</v>
      </c>
      <c r="F10" s="2"/>
      <c r="G10" s="4" t="s">
        <v>46</v>
      </c>
      <c r="H10" s="4"/>
    </row>
    <row r="11" spans="1:8" x14ac:dyDescent="0.3">
      <c r="A11" s="12" t="s">
        <v>47</v>
      </c>
      <c r="B11" s="12">
        <f>-0.0000000002597098121</f>
        <v>-2.5970981209999998E-10</v>
      </c>
      <c r="C11" s="2"/>
      <c r="D11" s="12" t="s">
        <v>47</v>
      </c>
      <c r="E11" s="4">
        <f>-5.9287112934E-11</f>
        <v>-5.9287112933999999E-11</v>
      </c>
      <c r="F11" s="2"/>
      <c r="G11" s="12" t="s">
        <v>47</v>
      </c>
      <c r="H11" s="4"/>
    </row>
    <row r="12" spans="1:8" x14ac:dyDescent="0.3">
      <c r="A12" s="4" t="s">
        <v>44</v>
      </c>
      <c r="B12" s="4">
        <f>-0.00000000501032127</f>
        <v>-5.0103212700000002E-9</v>
      </c>
      <c r="C12" s="2"/>
      <c r="D12" s="4" t="s">
        <v>44</v>
      </c>
      <c r="E12" s="4">
        <f>-0.0000000107193485</f>
        <v>-1.07193485E-8</v>
      </c>
      <c r="F12" s="2"/>
      <c r="G12" s="4" t="s">
        <v>44</v>
      </c>
      <c r="H12" s="4"/>
    </row>
    <row r="13" spans="1:8" x14ac:dyDescent="0.3">
      <c r="A13" s="4" t="s">
        <v>45</v>
      </c>
      <c r="B13" s="4">
        <f>-0.000000003570578854</f>
        <v>-3.5705788540000001E-9</v>
      </c>
      <c r="C13" s="2"/>
      <c r="D13" s="4" t="s">
        <v>45</v>
      </c>
      <c r="E13" s="4">
        <f>-0.00000001048612233</f>
        <v>-1.0486122329999999E-8</v>
      </c>
      <c r="F13" s="2"/>
      <c r="G13" s="4" t="s">
        <v>45</v>
      </c>
      <c r="H13" s="4"/>
    </row>
    <row r="14" spans="1:8" x14ac:dyDescent="0.3">
      <c r="A14" s="13" t="s">
        <v>12</v>
      </c>
      <c r="B14" s="13">
        <f>B9+B10+B11-B12-B13</f>
        <v>1.9511965138999998E-9</v>
      </c>
      <c r="C14" s="2"/>
      <c r="D14" s="13" t="s">
        <v>12</v>
      </c>
      <c r="E14" s="13">
        <f>E9+E10+E11-E13-E12</f>
        <v>1.9698328954565998E-8</v>
      </c>
      <c r="F14" s="2"/>
      <c r="G14" s="4" t="s">
        <v>12</v>
      </c>
      <c r="H14" s="4"/>
    </row>
    <row r="16" spans="1:8" x14ac:dyDescent="0.3">
      <c r="A16" s="6" t="s">
        <v>28</v>
      </c>
      <c r="B16" s="6"/>
      <c r="C16" s="6"/>
    </row>
    <row r="17" spans="1:6" x14ac:dyDescent="0.3">
      <c r="A17" s="6" t="s">
        <v>29</v>
      </c>
      <c r="B17" s="6" t="s">
        <v>30</v>
      </c>
      <c r="C17" s="6" t="s">
        <v>31</v>
      </c>
      <c r="E17" s="13" t="s">
        <v>40</v>
      </c>
      <c r="F17" s="13"/>
    </row>
    <row r="18" spans="1:6" x14ac:dyDescent="0.3">
      <c r="A18" s="7">
        <v>0.75</v>
      </c>
      <c r="B18" s="7">
        <f>A18/60</f>
        <v>1.2500000000000001E-2</v>
      </c>
      <c r="C18" s="7">
        <f>B18*(0.3048^3)</f>
        <v>3.5396058240000009E-4</v>
      </c>
      <c r="E18" s="4" t="s">
        <v>7</v>
      </c>
      <c r="F18" s="4">
        <v>5</v>
      </c>
    </row>
    <row r="19" spans="1:6" x14ac:dyDescent="0.3">
      <c r="A19" s="7">
        <v>1</v>
      </c>
      <c r="B19" s="7">
        <f t="shared" ref="B19:B20" si="0">A19/60</f>
        <v>1.6666666666666666E-2</v>
      </c>
      <c r="C19" s="7">
        <f t="shared" ref="C19:C20" si="1">B19*(0.3048^3)</f>
        <v>4.7194744320000004E-4</v>
      </c>
      <c r="E19" s="4" t="s">
        <v>8</v>
      </c>
      <c r="F19" s="4">
        <f>B3/F18</f>
        <v>0.04</v>
      </c>
    </row>
    <row r="20" spans="1:6" x14ac:dyDescent="0.3">
      <c r="A20" s="7">
        <v>1.25</v>
      </c>
      <c r="B20" s="7">
        <f t="shared" si="0"/>
        <v>2.0833333333333332E-2</v>
      </c>
      <c r="C20" s="7">
        <f t="shared" si="1"/>
        <v>5.8993430400000005E-4</v>
      </c>
      <c r="E20" s="4" t="s">
        <v>9</v>
      </c>
      <c r="F20" s="4">
        <f>-0.00000002219995541</f>
        <v>-2.2199955410000001E-8</v>
      </c>
    </row>
    <row r="21" spans="1:6" x14ac:dyDescent="0.3">
      <c r="E21" s="4" t="s">
        <v>46</v>
      </c>
      <c r="F21" s="4">
        <f>-0.000000001044652537</f>
        <v>-1.044652537E-9</v>
      </c>
    </row>
    <row r="22" spans="1:6" x14ac:dyDescent="0.3">
      <c r="E22" s="12" t="s">
        <v>47</v>
      </c>
      <c r="F22" s="4">
        <f>-0.000000001044652537</f>
        <v>-1.044652537E-9</v>
      </c>
    </row>
    <row r="23" spans="1:6" x14ac:dyDescent="0.3">
      <c r="E23" s="4" t="s">
        <v>44</v>
      </c>
      <c r="F23" s="4">
        <f>0.0000000017237</f>
        <v>1.7237E-9</v>
      </c>
    </row>
    <row r="24" spans="1:6" x14ac:dyDescent="0.3">
      <c r="E24" s="4" t="s">
        <v>45</v>
      </c>
      <c r="F24" s="4">
        <f>0.0000000017237</f>
        <v>1.7237E-9</v>
      </c>
    </row>
    <row r="25" spans="1:6" x14ac:dyDescent="0.3">
      <c r="E25" s="13" t="s">
        <v>12</v>
      </c>
      <c r="F25" s="13">
        <f>F20+F21+F22-F23-F24</f>
        <v>-2.7736660484000002E-8</v>
      </c>
    </row>
    <row r="46" spans="4:7" x14ac:dyDescent="0.3">
      <c r="D46" s="2" t="s">
        <v>49</v>
      </c>
      <c r="E46" s="2" t="s">
        <v>51</v>
      </c>
      <c r="F46" s="2" t="s">
        <v>50</v>
      </c>
      <c r="G46" s="2" t="s">
        <v>9</v>
      </c>
    </row>
    <row r="47" spans="4:7" x14ac:dyDescent="0.3">
      <c r="D47" s="2">
        <v>0.56699999999999995</v>
      </c>
      <c r="E47" s="2">
        <f>0.13*0.01</f>
        <v>1.3000000000000002E-3</v>
      </c>
      <c r="F47" s="2">
        <v>1.0125</v>
      </c>
      <c r="G47" s="2">
        <f>F47*E47*D47</f>
        <v>7.4631375000000001E-4</v>
      </c>
    </row>
    <row r="50" spans="3:9" x14ac:dyDescent="0.3">
      <c r="D50">
        <f>D47*E47</f>
        <v>7.3709999999999997E-4</v>
      </c>
    </row>
    <row r="52" spans="3:9" x14ac:dyDescent="0.3">
      <c r="C52" t="s">
        <v>54</v>
      </c>
      <c r="D52" t="s">
        <v>53</v>
      </c>
      <c r="E52" t="s">
        <v>52</v>
      </c>
      <c r="F52" t="s">
        <v>55</v>
      </c>
      <c r="H52" t="s">
        <v>56</v>
      </c>
      <c r="I52" t="s">
        <v>57</v>
      </c>
    </row>
    <row r="53" spans="3:9" x14ac:dyDescent="0.3">
      <c r="C53">
        <v>3.86</v>
      </c>
      <c r="D53">
        <v>-2.2281</v>
      </c>
      <c r="E53">
        <f>PI()*0.25*(0.01^2)</f>
        <v>7.8539816339744827E-5</v>
      </c>
      <c r="F53">
        <f>D53*E53</f>
        <v>-1.7499456478658546E-4</v>
      </c>
      <c r="H53">
        <f>ATAN(C53/D53)</f>
        <v>-1.0472892734895798</v>
      </c>
      <c r="I53">
        <f>DEGREES(H53)</f>
        <v>-60.005255300275138</v>
      </c>
    </row>
  </sheetData>
  <mergeCells count="3">
    <mergeCell ref="A6:B6"/>
    <mergeCell ref="D6:E6"/>
    <mergeCell ref="G6:H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D640-2136-43A7-9E04-3C95BC355F71}">
  <dimension ref="A1:M29"/>
  <sheetViews>
    <sheetView workbookViewId="0">
      <selection activeCell="A27" sqref="A27"/>
    </sheetView>
  </sheetViews>
  <sheetFormatPr defaultRowHeight="14.4" x14ac:dyDescent="0.3"/>
  <cols>
    <col min="1" max="1" width="23.77734375" customWidth="1"/>
    <col min="2" max="2" width="24.77734375" customWidth="1"/>
    <col min="3" max="3" width="24.33203125" customWidth="1"/>
    <col min="4" max="4" width="21" customWidth="1"/>
  </cols>
  <sheetData>
    <row r="1" spans="1:13" x14ac:dyDescent="0.3">
      <c r="A1" s="5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 t="s">
        <v>59</v>
      </c>
      <c r="B2" s="1">
        <v>0.01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 t="s">
        <v>81</v>
      </c>
      <c r="B3" s="1">
        <v>3.5E-4</v>
      </c>
      <c r="C3" s="1" t="s">
        <v>70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 t="s">
        <v>83</v>
      </c>
      <c r="B4" s="1">
        <f>B2*0.01</f>
        <v>1E-4</v>
      </c>
      <c r="C4" s="1"/>
      <c r="D4" s="1" t="s">
        <v>85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 t="s">
        <v>60</v>
      </c>
      <c r="B5" s="1"/>
      <c r="C5" s="1" t="s">
        <v>82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 t="s">
        <v>79</v>
      </c>
      <c r="B6" s="1">
        <v>-1</v>
      </c>
      <c r="C6" s="1" t="s">
        <v>84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 t="s">
        <v>80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 t="s">
        <v>61</v>
      </c>
      <c r="B8" s="1">
        <v>1.2250000000000001</v>
      </c>
      <c r="C8" s="1" t="s">
        <v>73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 t="s">
        <v>55</v>
      </c>
      <c r="B9" s="1">
        <f>0.00035</f>
        <v>3.5E-4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 t="s">
        <v>62</v>
      </c>
      <c r="B10" s="1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 t="s">
        <v>86</v>
      </c>
      <c r="B11" s="1">
        <f>B3*B8</f>
        <v>4.2875000000000004E-4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" t="s">
        <v>58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 t="s">
        <v>64</v>
      </c>
      <c r="B13" s="1" t="s">
        <v>65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 t="s">
        <v>67</v>
      </c>
      <c r="B14" s="1">
        <v>0.56699999999999995</v>
      </c>
      <c r="C14" s="1" t="s">
        <v>38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 t="s">
        <v>68</v>
      </c>
      <c r="B15" s="1">
        <v>0.13</v>
      </c>
      <c r="C15" s="1" t="s">
        <v>71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 t="s">
        <v>69</v>
      </c>
      <c r="B16" s="1">
        <f>B15*0.01</f>
        <v>1.3000000000000002E-3</v>
      </c>
      <c r="C16" s="1" t="s">
        <v>72</v>
      </c>
      <c r="D16" s="1" t="s">
        <v>85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 t="s">
        <v>66</v>
      </c>
      <c r="B17" s="1">
        <f>B14*B16</f>
        <v>7.3709999999999997E-4</v>
      </c>
      <c r="C17" s="1" t="s">
        <v>74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 t="s">
        <v>50</v>
      </c>
      <c r="B18" s="1">
        <v>0.626</v>
      </c>
      <c r="C18" s="1" t="s">
        <v>73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 t="s">
        <v>76</v>
      </c>
      <c r="B19" s="1" t="s">
        <v>77</v>
      </c>
      <c r="C19" s="1" t="s">
        <v>78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 t="s">
        <v>86</v>
      </c>
      <c r="B20" s="1">
        <f>B17*B18</f>
        <v>4.6142459999999998E-4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 t="s">
        <v>75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>
        <f>0.0046*0.0013</f>
        <v>5.9799999999999995E-6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 t="s">
        <v>87</v>
      </c>
      <c r="B27" s="1" t="s">
        <v>74</v>
      </c>
      <c r="C27" s="1"/>
      <c r="D27" s="1"/>
      <c r="E27" s="1"/>
      <c r="F27" s="1"/>
    </row>
    <row r="28" spans="1:13" x14ac:dyDescent="0.3">
      <c r="A28" s="1"/>
      <c r="B28" s="1"/>
      <c r="C28" s="1"/>
      <c r="D28" s="1"/>
      <c r="E28" s="1"/>
      <c r="F28" s="1"/>
    </row>
    <row r="29" spans="1:13" x14ac:dyDescent="0.3">
      <c r="A29" s="1"/>
      <c r="B29" s="1"/>
      <c r="C29" s="1"/>
      <c r="D29" s="1"/>
      <c r="E29" s="1"/>
      <c r="F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C105-3BC5-4E5A-AAF1-4A827BA999F0}">
  <dimension ref="L31:M35"/>
  <sheetViews>
    <sheetView topLeftCell="A28" workbookViewId="0">
      <selection activeCell="M36" sqref="M36"/>
    </sheetView>
  </sheetViews>
  <sheetFormatPr defaultRowHeight="14.4" x14ac:dyDescent="0.3"/>
  <cols>
    <col min="12" max="12" width="23.109375" customWidth="1"/>
    <col min="13" max="13" width="15.44140625" customWidth="1"/>
  </cols>
  <sheetData>
    <row r="31" spans="12:13" x14ac:dyDescent="0.3">
      <c r="L31" s="6" t="s">
        <v>37</v>
      </c>
      <c r="M31" s="6" t="s">
        <v>38</v>
      </c>
    </row>
    <row r="32" spans="12:13" x14ac:dyDescent="0.3">
      <c r="L32" s="7" t="s">
        <v>33</v>
      </c>
      <c r="M32" s="7">
        <v>-2.2281</v>
      </c>
    </row>
    <row r="33" spans="12:13" x14ac:dyDescent="0.3">
      <c r="L33" s="7" t="s">
        <v>34</v>
      </c>
      <c r="M33" s="7">
        <v>3.86</v>
      </c>
    </row>
    <row r="34" spans="12:13" x14ac:dyDescent="0.3">
      <c r="L34" s="7" t="s">
        <v>35</v>
      </c>
      <c r="M34" s="10">
        <v>2.2281</v>
      </c>
    </row>
    <row r="35" spans="12:13" x14ac:dyDescent="0.3">
      <c r="L35" s="7" t="s">
        <v>36</v>
      </c>
      <c r="M35" s="7">
        <v>3.86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B090-2ACF-4B37-B4EF-11350F9FAC4D}">
  <dimension ref="A4:I5"/>
  <sheetViews>
    <sheetView tabSelected="1" workbookViewId="0">
      <selection activeCell="H5" sqref="H5"/>
    </sheetView>
  </sheetViews>
  <sheetFormatPr defaultRowHeight="14.4" x14ac:dyDescent="0.3"/>
  <sheetData>
    <row r="4" spans="1:9" x14ac:dyDescent="0.3">
      <c r="A4" t="s">
        <v>129</v>
      </c>
      <c r="E4" t="s">
        <v>130</v>
      </c>
      <c r="H4" t="s">
        <v>131</v>
      </c>
    </row>
    <row r="5" spans="1:9" x14ac:dyDescent="0.3">
      <c r="A5" t="s">
        <v>128</v>
      </c>
      <c r="B5">
        <v>40</v>
      </c>
      <c r="E5" t="s">
        <v>128</v>
      </c>
      <c r="F5">
        <v>80</v>
      </c>
      <c r="H5" t="s">
        <v>128</v>
      </c>
      <c r="I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GCI_1</vt:lpstr>
      <vt:lpstr>GCI_2</vt:lpstr>
      <vt:lpstr>Sheet1</vt:lpstr>
      <vt:lpstr>Sheet3</vt:lpstr>
      <vt:lpstr>Sheet4</vt:lpstr>
      <vt:lpstr>flowratecalcs</vt:lpstr>
      <vt:lpstr>Sheet2</vt:lpstr>
      <vt:lpstr>GCI3_0116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2020-01-09T22:07:34Z</dcterms:created>
  <dcterms:modified xsi:type="dcterms:W3CDTF">2020-01-16T08:04:08Z</dcterms:modified>
</cp:coreProperties>
</file>