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6.xml" ContentType="application/vnd.openxmlformats-officedocument.drawing+xml"/>
  <Override PartName="/xl/embeddings/oleObject1.bin" ContentType="application/vnd.openxmlformats-officedocument.oleObject"/>
  <Override PartName="/xl/drawings/drawing7.xml" ContentType="application/vnd.openxmlformats-officedocument.drawing+xml"/>
  <Override PartName="/xl/embeddings/oleObject2.bin" ContentType="application/vnd.openxmlformats-officedocument.oleObject"/>
  <Override PartName="/xl/drawings/drawing8.xml" ContentType="application/vnd.openxmlformats-officedocument.drawing+xml"/>
  <Override PartName="/xl/embeddings/oleObject3.bin" ContentType="application/vnd.openxmlformats-officedocument.oleObject"/>
  <Override PartName="/xl/drawings/drawing9.xml" ContentType="application/vnd.openxmlformats-officedocument.drawing+xml"/>
  <Override PartName="/xl/embeddings/oleObject4.bin" ContentType="application/vnd.openxmlformats-officedocument.oleObject"/>
  <Override PartName="/xl/drawings/drawing10.xml" ContentType="application/vnd.openxmlformats-officedocument.drawing+xml"/>
  <Override PartName="/xl/embeddings/oleObject5.bin" ContentType="application/vnd.openxmlformats-officedocument.oleObject"/>
  <Override PartName="/xl/drawings/drawing11.xml" ContentType="application/vnd.openxmlformats-officedocument.drawing+xml"/>
  <Override PartName="/xl/embeddings/oleObject6.bin" ContentType="application/vnd.openxmlformats-officedocument.oleObject"/>
  <Override PartName="/xl/drawings/drawing12.xml" ContentType="application/vnd.openxmlformats-officedocument.drawing+xml"/>
  <Override PartName="/xl/embeddings/oleObject7.bin" ContentType="application/vnd.openxmlformats-officedocument.oleObject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3.xml" ContentType="application/vnd.openxmlformats-officedocument.drawing+xml"/>
  <Override PartName="/xl/embeddings/oleObject8.bin" ContentType="application/vnd.openxmlformats-officedocument.oleObject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embeddings/oleObject9.bin" ContentType="application/vnd.openxmlformats-officedocument.oleObject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5.xml" ContentType="application/vnd.openxmlformats-officedocument.drawing+xml"/>
  <Override PartName="/xl/embeddings/oleObject10.bin" ContentType="application/vnd.openxmlformats-officedocument.oleObject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6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17.xml" ContentType="application/vnd.openxmlformats-officedocument.drawing+xml"/>
  <Override PartName="/xl/embeddings/oleObject11.bin" ContentType="application/vnd.openxmlformats-officedocument.oleObject"/>
  <Override PartName="/xl/charts/chart83.xml" ContentType="application/vnd.openxmlformats-officedocument.drawingml.chart+xml"/>
  <Override PartName="/xl/drawings/drawing18.xml" ContentType="application/vnd.openxmlformats-officedocument.drawing+xml"/>
  <Override PartName="/xl/charts/chart84.xml" ContentType="application/vnd.openxmlformats-officedocument.drawingml.chart+xml"/>
  <Override PartName="/xl/drawings/drawing19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0.xml" ContentType="application/vnd.openxmlformats-officedocument.drawing+xml"/>
  <Override PartName="/xl/charts/chart10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0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0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0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1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1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1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1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96\COMPARTIDO RDyCS\LABORATORIO AGUA Y SUELOS\2025\"/>
    </mc:Choice>
  </mc:AlternateContent>
  <bookViews>
    <workbookView xWindow="0" yWindow="0" windowWidth="24000" windowHeight="9600" tabRatio="905" firstSheet="2" activeTab="2"/>
  </bookViews>
  <sheets>
    <sheet name="MARZO 2022" sheetId="1" state="hidden" r:id="rId1"/>
    <sheet name="GRAFICOS- MARZO2022" sheetId="2" state="hidden" r:id="rId2"/>
    <sheet name="FEBRERO 2025" sheetId="22" r:id="rId3"/>
    <sheet name="JULIO 2025 " sheetId="23" r:id="rId4"/>
    <sheet name="NOVIEMBRE 2025" sheetId="24" r:id="rId5"/>
    <sheet name="JUNIO 2023" sheetId="4" state="hidden" r:id="rId6"/>
    <sheet name="JULIO 2023 " sheetId="20" state="hidden" r:id="rId7"/>
    <sheet name="MAYO" sheetId="9" state="hidden" r:id="rId8"/>
    <sheet name="SETIEMBRE 2023" sheetId="21" state="hidden" r:id="rId9"/>
    <sheet name="JUNIO" sheetId="10" state="hidden" r:id="rId10"/>
    <sheet name="JULIO" sheetId="11" state="hidden" r:id="rId11"/>
    <sheet name="AGOSTO" sheetId="12" state="hidden" r:id="rId12"/>
    <sheet name="SETIEMBRE" sheetId="13" state="hidden" r:id="rId13"/>
    <sheet name="OCTUBRE" sheetId="14" state="hidden" r:id="rId14"/>
    <sheet name="NOVIEMBRE" sheetId="15" state="hidden" r:id="rId15"/>
    <sheet name="DICIEMBRE" sheetId="19" state="hidden" r:id="rId16"/>
    <sheet name="microbiologia" sheetId="7" state="hidden" r:id="rId17"/>
    <sheet name="ABRIL VS MARZO" sheetId="5" state="hidden" r:id="rId18"/>
    <sheet name="TOLERABCIA DE CULTIVOS ACONDUT" sheetId="8" state="hidden" r:id="rId19"/>
    <sheet name="graficos abril vs marzo" sheetId="6" state="hidden" r:id="rId20"/>
    <sheet name="PARAMETROS FISICOS" sheetId="16" state="hidden" r:id="rId21"/>
    <sheet name="PARAMETROS QUIMICOS  " sheetId="18" state="hidden" r:id="rId22"/>
    <sheet name="Hoja1" sheetId="17" state="hidden" r:id="rId23"/>
  </sheets>
  <externalReferences>
    <externalReference r:id="rId24"/>
  </externalReferences>
  <definedNames>
    <definedName name="_xlnm.Print_Area" localSheetId="11">AGOSTO!$A$1:$AB$35</definedName>
    <definedName name="_xlnm.Print_Area" localSheetId="15">DICIEMBRE!$A$1:$AB$40</definedName>
    <definedName name="_xlnm.Print_Area" localSheetId="2">'FEBRERO 2025'!$A$1:$N$41</definedName>
    <definedName name="_xlnm.Print_Area" localSheetId="10">JULIO!$A$1:$N$27</definedName>
    <definedName name="_xlnm.Print_Area" localSheetId="6">'JULIO 2023 '!$A$1:$N$32</definedName>
    <definedName name="_xlnm.Print_Area" localSheetId="3">'JULIO 2025 '!$A$1:$N$47</definedName>
    <definedName name="_xlnm.Print_Area" localSheetId="9">JUNIO!$A$1:$N$33</definedName>
    <definedName name="_xlnm.Print_Area" localSheetId="5">'JUNIO 2023'!$A$1:$N$31</definedName>
    <definedName name="_xlnm.Print_Area" localSheetId="7">MAYO!$A$1:$N$33</definedName>
    <definedName name="_xlnm.Print_Area" localSheetId="14">NOVIEMBRE!$A$1:$AB$40</definedName>
    <definedName name="_xlnm.Print_Area" localSheetId="4">'NOVIEMBRE 2025'!$A$1:$N$47</definedName>
    <definedName name="_xlnm.Print_Area" localSheetId="13">OCTUBRE!$A$1:$AB$35</definedName>
    <definedName name="_xlnm.Print_Area" localSheetId="12">SETIEMBRE!$A$1:$AB$35</definedName>
    <definedName name="_xlnm.Print_Area" localSheetId="8">'SETIEMBRE 2023'!$A$1:$N$32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24" l="1"/>
  <c r="M34" i="24"/>
  <c r="N33" i="24"/>
  <c r="M33" i="24"/>
  <c r="N32" i="24"/>
  <c r="M32" i="24"/>
  <c r="N31" i="24"/>
  <c r="M31" i="24"/>
  <c r="N30" i="24"/>
  <c r="M30" i="24"/>
  <c r="N29" i="24"/>
  <c r="M29" i="24"/>
  <c r="N28" i="24"/>
  <c r="M28" i="24"/>
  <c r="N27" i="24"/>
  <c r="M27" i="24"/>
  <c r="N26" i="24"/>
  <c r="M26" i="24"/>
  <c r="N25" i="24"/>
  <c r="M25" i="24"/>
  <c r="N24" i="24"/>
  <c r="M24" i="24"/>
  <c r="N23" i="24"/>
  <c r="M23" i="24"/>
  <c r="N22" i="24"/>
  <c r="M22" i="24"/>
  <c r="N21" i="24"/>
  <c r="M21" i="24"/>
  <c r="N20" i="24"/>
  <c r="M20" i="24"/>
  <c r="N19" i="24"/>
  <c r="M19" i="24"/>
  <c r="N18" i="24"/>
  <c r="M18" i="24"/>
  <c r="N17" i="24"/>
  <c r="M17" i="24"/>
  <c r="N16" i="24"/>
  <c r="M16" i="24"/>
  <c r="N15" i="24"/>
  <c r="M15" i="24"/>
  <c r="N14" i="24"/>
  <c r="M14" i="24"/>
  <c r="N13" i="24"/>
  <c r="M13" i="24"/>
  <c r="N12" i="24"/>
  <c r="M12" i="24"/>
  <c r="N11" i="24"/>
  <c r="M11" i="24"/>
  <c r="N10" i="24"/>
  <c r="M10" i="24"/>
  <c r="N25" i="23" l="1"/>
  <c r="N26" i="23"/>
  <c r="N27" i="23"/>
  <c r="N28" i="23"/>
  <c r="N29" i="23"/>
  <c r="N30" i="23"/>
  <c r="N31" i="23"/>
  <c r="M25" i="23"/>
  <c r="M26" i="23"/>
  <c r="M27" i="23"/>
  <c r="M28" i="23"/>
  <c r="M29" i="23"/>
  <c r="M30" i="23"/>
  <c r="N21" i="23" l="1"/>
  <c r="N22" i="23"/>
  <c r="N23" i="23"/>
  <c r="N24" i="23"/>
  <c r="M21" i="23"/>
  <c r="M22" i="23"/>
  <c r="M23" i="23"/>
  <c r="M24" i="23"/>
  <c r="N14" i="23"/>
  <c r="M14" i="23"/>
  <c r="N34" i="23"/>
  <c r="M34" i="23"/>
  <c r="N33" i="23"/>
  <c r="M33" i="23"/>
  <c r="N32" i="23"/>
  <c r="M32" i="23"/>
  <c r="M31" i="23"/>
  <c r="N20" i="23"/>
  <c r="M20" i="23"/>
  <c r="N19" i="23"/>
  <c r="M19" i="23"/>
  <c r="N18" i="23"/>
  <c r="M18" i="23"/>
  <c r="N17" i="23"/>
  <c r="M17" i="23"/>
  <c r="N16" i="23"/>
  <c r="M16" i="23"/>
  <c r="N15" i="23"/>
  <c r="M15" i="23"/>
  <c r="N13" i="23"/>
  <c r="M13" i="23"/>
  <c r="N12" i="23"/>
  <c r="M12" i="23"/>
  <c r="N11" i="23"/>
  <c r="M11" i="23"/>
  <c r="N10" i="23"/>
  <c r="M10" i="23"/>
  <c r="L22" i="22"/>
  <c r="K22" i="22"/>
  <c r="J22" i="22"/>
  <c r="I22" i="22"/>
  <c r="H22" i="22"/>
  <c r="G22" i="22"/>
  <c r="F22" i="22"/>
  <c r="N18" i="22" l="1"/>
  <c r="N19" i="22"/>
  <c r="N20" i="22"/>
  <c r="N21" i="22"/>
  <c r="N23" i="22"/>
  <c r="N24" i="22"/>
  <c r="M18" i="22"/>
  <c r="M19" i="22"/>
  <c r="M20" i="22"/>
  <c r="M21" i="22"/>
  <c r="M23" i="22"/>
  <c r="M24" i="22"/>
  <c r="M22" i="22"/>
  <c r="N22" i="22" l="1"/>
  <c r="N10" i="22" l="1"/>
  <c r="M10" i="22"/>
  <c r="N28" i="22" l="1"/>
  <c r="M28" i="22"/>
  <c r="N27" i="22"/>
  <c r="M27" i="22"/>
  <c r="N26" i="22"/>
  <c r="M26" i="22"/>
  <c r="N25" i="22"/>
  <c r="M25" i="22"/>
  <c r="N17" i="22"/>
  <c r="M17" i="22"/>
  <c r="N16" i="22"/>
  <c r="M16" i="22"/>
  <c r="N15" i="22"/>
  <c r="M15" i="22"/>
  <c r="N13" i="22"/>
  <c r="M13" i="22"/>
  <c r="N12" i="22"/>
  <c r="M12" i="22"/>
  <c r="N11" i="22"/>
  <c r="M11" i="22"/>
  <c r="N23" i="21" l="1"/>
  <c r="M23" i="21"/>
  <c r="L20" i="21"/>
  <c r="K20" i="21"/>
  <c r="J20" i="21"/>
  <c r="I20" i="21"/>
  <c r="H20" i="21"/>
  <c r="G20" i="21"/>
  <c r="F20" i="21"/>
  <c r="M16" i="21"/>
  <c r="N16" i="21"/>
  <c r="M17" i="21"/>
  <c r="N17" i="21"/>
  <c r="N29" i="21"/>
  <c r="M29" i="21"/>
  <c r="N28" i="21"/>
  <c r="M28" i="21"/>
  <c r="N27" i="21"/>
  <c r="M27" i="21"/>
  <c r="N26" i="21"/>
  <c r="M26" i="21"/>
  <c r="N25" i="21"/>
  <c r="M25" i="21"/>
  <c r="N24" i="21"/>
  <c r="M24" i="21"/>
  <c r="N22" i="21"/>
  <c r="M22" i="21"/>
  <c r="N21" i="21"/>
  <c r="M21" i="21"/>
  <c r="N19" i="21"/>
  <c r="M19" i="21"/>
  <c r="N18" i="21"/>
  <c r="M18" i="21"/>
  <c r="N15" i="21"/>
  <c r="M15" i="21"/>
  <c r="N14" i="21"/>
  <c r="M14" i="21"/>
  <c r="N13" i="21"/>
  <c r="M13" i="21"/>
  <c r="N12" i="21"/>
  <c r="N11" i="21"/>
  <c r="M11" i="21"/>
  <c r="N10" i="21"/>
  <c r="N20" i="21" l="1"/>
  <c r="M20" i="21"/>
  <c r="M12" i="21"/>
  <c r="M10" i="21"/>
  <c r="N18" i="20"/>
  <c r="M18" i="20"/>
  <c r="L17" i="20"/>
  <c r="K17" i="20"/>
  <c r="J17" i="20"/>
  <c r="I17" i="20"/>
  <c r="H17" i="20"/>
  <c r="G17" i="20"/>
  <c r="F17" i="20"/>
  <c r="L12" i="20"/>
  <c r="J10" i="20"/>
  <c r="I10" i="20"/>
  <c r="H10" i="20"/>
  <c r="G10" i="20"/>
  <c r="F10" i="20"/>
  <c r="N29" i="20"/>
  <c r="M29" i="20"/>
  <c r="N28" i="20"/>
  <c r="M28" i="20"/>
  <c r="N27" i="20"/>
  <c r="M27" i="20"/>
  <c r="N26" i="20"/>
  <c r="M26" i="20"/>
  <c r="N25" i="20"/>
  <c r="M25" i="20"/>
  <c r="N24" i="20"/>
  <c r="M24" i="20"/>
  <c r="N23" i="20"/>
  <c r="M23" i="20"/>
  <c r="N22" i="20"/>
  <c r="M22" i="20"/>
  <c r="N21" i="20"/>
  <c r="M21" i="20"/>
  <c r="N20" i="20"/>
  <c r="M20" i="20"/>
  <c r="N19" i="20"/>
  <c r="M19" i="20"/>
  <c r="N16" i="20"/>
  <c r="M16" i="20"/>
  <c r="N15" i="20"/>
  <c r="M15" i="20"/>
  <c r="N14" i="20"/>
  <c r="M14" i="20"/>
  <c r="N13" i="20"/>
  <c r="M13" i="20"/>
  <c r="N11" i="20"/>
  <c r="M11" i="20"/>
  <c r="N17" i="20" l="1"/>
  <c r="M10" i="20"/>
  <c r="M17" i="20"/>
  <c r="N10" i="20"/>
  <c r="M12" i="20"/>
  <c r="L17" i="4"/>
  <c r="K17" i="4"/>
  <c r="J17" i="4"/>
  <c r="I17" i="4"/>
  <c r="H17" i="4"/>
  <c r="G17" i="4"/>
  <c r="F17" i="4"/>
  <c r="M14" i="4"/>
  <c r="N14" i="4"/>
  <c r="J10" i="4"/>
  <c r="I10" i="4"/>
  <c r="H10" i="4"/>
  <c r="G10" i="4"/>
  <c r="F10" i="4"/>
  <c r="N12" i="20" l="1"/>
  <c r="L12" i="4"/>
  <c r="K12" i="4"/>
  <c r="H12" i="4"/>
  <c r="G12" i="4"/>
  <c r="F12" i="4"/>
  <c r="J12" i="4"/>
  <c r="I12" i="4"/>
  <c r="N11" i="4" l="1"/>
  <c r="N12" i="4"/>
  <c r="N13" i="4"/>
  <c r="N15" i="4"/>
  <c r="N16" i="4"/>
  <c r="N18" i="4"/>
  <c r="N19" i="4"/>
  <c r="N20" i="4"/>
  <c r="N21" i="4"/>
  <c r="N22" i="4"/>
  <c r="N23" i="4"/>
  <c r="N24" i="4"/>
  <c r="N25" i="4"/>
  <c r="N26" i="4"/>
  <c r="N27" i="4"/>
  <c r="N28" i="4"/>
  <c r="N10" i="4"/>
  <c r="M11" i="4"/>
  <c r="M12" i="4"/>
  <c r="M13" i="4"/>
  <c r="M15" i="4"/>
  <c r="M16" i="4"/>
  <c r="M18" i="4"/>
  <c r="M19" i="4"/>
  <c r="M20" i="4"/>
  <c r="M21" i="4"/>
  <c r="M22" i="4"/>
  <c r="M23" i="4"/>
  <c r="M24" i="4"/>
  <c r="M25" i="4"/>
  <c r="M26" i="4"/>
  <c r="M27" i="4"/>
  <c r="M28" i="4"/>
  <c r="M10" i="4"/>
  <c r="N17" i="4"/>
  <c r="M17" i="4"/>
  <c r="O6" i="16" l="1"/>
  <c r="O17" i="16" l="1"/>
  <c r="L16" i="19" l="1"/>
  <c r="K16" i="19"/>
  <c r="J16" i="19"/>
  <c r="I16" i="19"/>
  <c r="H16" i="19"/>
  <c r="G16" i="19"/>
  <c r="F16" i="19"/>
  <c r="J9" i="19"/>
  <c r="I9" i="19"/>
  <c r="H9" i="19"/>
  <c r="G9" i="19"/>
  <c r="F9" i="19"/>
  <c r="L19" i="19"/>
  <c r="K19" i="19"/>
  <c r="J19" i="19"/>
  <c r="I19" i="19"/>
  <c r="H19" i="19"/>
  <c r="G19" i="19"/>
  <c r="F19" i="19"/>
  <c r="O173" i="16" l="1"/>
  <c r="O172" i="16"/>
  <c r="O162" i="16"/>
  <c r="O161" i="16"/>
  <c r="O151" i="16"/>
  <c r="O150" i="16"/>
  <c r="O140" i="16"/>
  <c r="O139" i="16"/>
  <c r="O129" i="16"/>
  <c r="O128" i="16"/>
  <c r="O118" i="16"/>
  <c r="O117" i="16"/>
  <c r="O107" i="16"/>
  <c r="O106" i="16"/>
  <c r="O96" i="16"/>
  <c r="O95" i="16"/>
  <c r="O85" i="16"/>
  <c r="O84" i="16"/>
  <c r="O74" i="16"/>
  <c r="O73" i="16"/>
  <c r="O63" i="16"/>
  <c r="O62" i="16"/>
  <c r="O28" i="16" l="1"/>
  <c r="N117" i="18" l="1"/>
  <c r="N116" i="18"/>
  <c r="N106" i="18"/>
  <c r="N105" i="18"/>
  <c r="N95" i="18"/>
  <c r="N94" i="18"/>
  <c r="N84" i="18"/>
  <c r="N83" i="18"/>
  <c r="N73" i="18"/>
  <c r="N72" i="18"/>
  <c r="N61" i="18"/>
  <c r="N62" i="18"/>
  <c r="N50" i="18"/>
  <c r="N39" i="18"/>
  <c r="N51" i="18"/>
  <c r="N40" i="18"/>
  <c r="N29" i="18"/>
  <c r="N28" i="18"/>
  <c r="N18" i="18"/>
  <c r="N17" i="18"/>
  <c r="N7" i="18"/>
  <c r="N6" i="18"/>
  <c r="O51" i="16"/>
  <c r="O50" i="16"/>
  <c r="O40" i="16"/>
  <c r="O39" i="16"/>
  <c r="O29" i="16"/>
  <c r="O18" i="16"/>
  <c r="O7" i="16" l="1"/>
  <c r="L16" i="15" l="1"/>
  <c r="K16" i="15"/>
  <c r="J16" i="15"/>
  <c r="I16" i="15"/>
  <c r="H16" i="15"/>
  <c r="G16" i="15"/>
  <c r="F16" i="15"/>
  <c r="G19" i="15" l="1"/>
  <c r="H19" i="15"/>
  <c r="I19" i="15"/>
  <c r="J19" i="15"/>
  <c r="K19" i="15"/>
  <c r="L19" i="15"/>
  <c r="F19" i="15"/>
  <c r="L9" i="15" l="1"/>
  <c r="K9" i="15"/>
  <c r="J9" i="15"/>
  <c r="I9" i="15"/>
  <c r="H9" i="15"/>
  <c r="G9" i="15"/>
  <c r="F9" i="15"/>
  <c r="L16" i="14" l="1"/>
  <c r="K16" i="14"/>
  <c r="J16" i="14"/>
  <c r="I16" i="14"/>
  <c r="H16" i="14"/>
  <c r="G16" i="14"/>
  <c r="F16" i="14"/>
  <c r="L16" i="13"/>
  <c r="K16" i="13"/>
  <c r="J16" i="13"/>
  <c r="I16" i="13"/>
  <c r="H16" i="13"/>
  <c r="G16" i="13"/>
  <c r="F16" i="13"/>
  <c r="L16" i="12" l="1"/>
  <c r="K16" i="12"/>
  <c r="J16" i="12"/>
  <c r="I16" i="12"/>
  <c r="H16" i="12"/>
  <c r="G16" i="12"/>
  <c r="F16" i="12"/>
  <c r="F17" i="11" l="1"/>
  <c r="G17" i="11"/>
  <c r="H17" i="11"/>
  <c r="I17" i="11"/>
  <c r="J17" i="11"/>
  <c r="K17" i="11"/>
  <c r="L17" i="11"/>
  <c r="J10" i="10" l="1"/>
  <c r="J12" i="10" s="1"/>
  <c r="G10" i="10"/>
  <c r="G12" i="10" s="1"/>
  <c r="L18" i="10"/>
  <c r="K18" i="10"/>
  <c r="J18" i="10"/>
  <c r="I18" i="10"/>
  <c r="H18" i="10"/>
  <c r="G18" i="10"/>
  <c r="F18" i="10"/>
  <c r="L17" i="10"/>
  <c r="K17" i="10"/>
  <c r="J17" i="10"/>
  <c r="I17" i="10"/>
  <c r="H17" i="10"/>
  <c r="G17" i="10"/>
  <c r="F17" i="10"/>
  <c r="L12" i="10"/>
  <c r="K12" i="10"/>
  <c r="I10" i="10"/>
  <c r="I12" i="10" s="1"/>
  <c r="H10" i="10"/>
  <c r="H12" i="10" s="1"/>
  <c r="F10" i="10"/>
  <c r="F12" i="10" s="1"/>
  <c r="H40" i="5" l="1"/>
  <c r="L35" i="5" l="1"/>
  <c r="K35" i="5"/>
  <c r="J35" i="5"/>
  <c r="I35" i="5"/>
  <c r="H35" i="5"/>
  <c r="G35" i="5"/>
  <c r="F35" i="5"/>
  <c r="L18" i="9" l="1"/>
  <c r="K18" i="9"/>
  <c r="J18" i="9"/>
  <c r="I18" i="9"/>
  <c r="H18" i="9"/>
  <c r="G18" i="9"/>
  <c r="F18" i="9"/>
  <c r="L17" i="9"/>
  <c r="K17" i="9"/>
  <c r="J17" i="9"/>
  <c r="I17" i="9"/>
  <c r="H17" i="9"/>
  <c r="G17" i="9"/>
  <c r="F17" i="9"/>
  <c r="J10" i="9"/>
  <c r="I10" i="9"/>
  <c r="H10" i="9"/>
  <c r="G10" i="9"/>
  <c r="F10" i="9"/>
  <c r="D41" i="5" l="1"/>
  <c r="L38" i="5"/>
  <c r="K38" i="5"/>
  <c r="G38" i="5"/>
  <c r="F38" i="5"/>
  <c r="G41" i="5"/>
  <c r="H41" i="5"/>
  <c r="I41" i="5"/>
  <c r="J41" i="5"/>
  <c r="K41" i="5"/>
  <c r="L41" i="5"/>
  <c r="F41" i="5"/>
  <c r="G36" i="5"/>
  <c r="H36" i="5"/>
  <c r="I36" i="5"/>
  <c r="J36" i="5"/>
  <c r="K36" i="5"/>
  <c r="L36" i="5"/>
  <c r="F36" i="5"/>
  <c r="B36" i="5"/>
  <c r="L33" i="5"/>
  <c r="K33" i="5"/>
  <c r="J33" i="5"/>
  <c r="I33" i="5"/>
  <c r="H33" i="5"/>
  <c r="G33" i="5"/>
  <c r="F33" i="5"/>
  <c r="L19" i="5"/>
  <c r="K19" i="5"/>
  <c r="J10" i="5"/>
  <c r="J19" i="5" s="1"/>
  <c r="I10" i="5"/>
  <c r="I19" i="5" s="1"/>
  <c r="H10" i="5"/>
  <c r="H19" i="5" s="1"/>
  <c r="G10" i="5"/>
  <c r="G19" i="5" s="1"/>
  <c r="F10" i="5"/>
  <c r="F19" i="5" s="1"/>
</calcChain>
</file>

<file path=xl/sharedStrings.xml><?xml version="1.0" encoding="utf-8"?>
<sst xmlns="http://schemas.openxmlformats.org/spreadsheetml/2006/main" count="3004" uniqueCount="383">
  <si>
    <t>Nº</t>
  </si>
  <si>
    <t xml:space="preserve">Código de La Muestra </t>
  </si>
  <si>
    <t>Descripción del Punto de Muestreo</t>
  </si>
  <si>
    <t>Coordenada WGS-84</t>
  </si>
  <si>
    <t>Zona</t>
  </si>
  <si>
    <t>Este</t>
  </si>
  <si>
    <t>Norte</t>
  </si>
  <si>
    <t>M-01</t>
  </si>
  <si>
    <t>Dren Bitín: antes de la entrega de sus aguas al DV-4.0</t>
  </si>
  <si>
    <t>17L</t>
  </si>
  <si>
    <t>M-02</t>
  </si>
  <si>
    <t>Dren DV-4.3: antes de la entrega de sus aguas al DV-4.0</t>
  </si>
  <si>
    <t>M-03</t>
  </si>
  <si>
    <t>Dren DV-4.0 (1): a 150 m aguas abajo desde la panamericana</t>
  </si>
  <si>
    <t>M-04</t>
  </si>
  <si>
    <t>Dren DV-4.0 (2): en el sector denominado Huancaquito Alto</t>
  </si>
  <si>
    <t>M-05</t>
  </si>
  <si>
    <t>M-06</t>
  </si>
  <si>
    <t>Canal Madre: a 500 m antes de llegar a la cámara de carga San José Virú</t>
  </si>
  <si>
    <t>Central Hidroeléctrica Virú San José: agua turbinada</t>
  </si>
  <si>
    <t xml:space="preserve">Altitud    
  m.s.n.m </t>
  </si>
  <si>
    <t>Dren DV-4.0 (3): antes de la entrega de sus aguas drenadas al río Virú en el sector Huancaquito pueblo</t>
  </si>
  <si>
    <t>M-07</t>
  </si>
  <si>
    <t>pH</t>
  </si>
  <si>
    <t>(mg/L)</t>
  </si>
  <si>
    <t>Canal Madre</t>
  </si>
  <si>
    <t>PUNTOS MONITOREO DE LA CALIDAD DE AGUA DRENADA DV-4.0 TRIBUTARIOS 
C.MADRE AGUA TURBINADA CHV - MARZO 2022</t>
  </si>
  <si>
    <t>Dren Bitín</t>
  </si>
  <si>
    <t>Dren DV-4.3</t>
  </si>
  <si>
    <t>Dren DV-4.0 (1)</t>
  </si>
  <si>
    <t>Dren DV-4.0 (2)</t>
  </si>
  <si>
    <t>Dren DV-4.0 (3)</t>
  </si>
  <si>
    <t>Central Hidroeléctrica Virú San José</t>
  </si>
  <si>
    <t>DS N° 004-2017 MINAM</t>
  </si>
  <si>
    <t>PARÁMETROS</t>
  </si>
  <si>
    <t>UM</t>
  </si>
  <si>
    <t>RESULTADOS ANÁLISIS QUIMICOS DE LA CALIDAD DE AGUA DRENADA DV-4.0 TRIBUTARIOS C.MADRE AGUA TURBINADA CHV 
 MARZO 2022</t>
  </si>
  <si>
    <t>-</t>
  </si>
  <si>
    <t>Sólidos Totales  Disueltos</t>
  </si>
  <si>
    <t>Temperatura</t>
  </si>
  <si>
    <t>°C</t>
  </si>
  <si>
    <t>Conductividad Eléctrica</t>
  </si>
  <si>
    <t>Turbidez</t>
  </si>
  <si>
    <t>Nitritos</t>
  </si>
  <si>
    <t>Zinc</t>
  </si>
  <si>
    <t>Dureza</t>
  </si>
  <si>
    <t>Sulfatos  (SO₄²-)</t>
  </si>
  <si>
    <t>Cloruros (Cl-)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</si>
  <si>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</t>
    </r>
  </si>
  <si>
    <t>Manganeso (Mn)</t>
  </si>
  <si>
    <t>Hierro (Fe)</t>
  </si>
  <si>
    <t>Cobre (Cu)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</si>
  <si>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</t>
    </r>
  </si>
  <si>
    <t>NTU</t>
  </si>
  <si>
    <t>mg/L</t>
  </si>
  <si>
    <t>Coliformes
Termotolerantes</t>
  </si>
  <si>
    <t>Escherichia coli</t>
  </si>
  <si>
    <t>Coliformes
Totales</t>
  </si>
  <si>
    <t>NMP/100 ml</t>
  </si>
  <si>
    <t>1 000</t>
  </si>
  <si>
    <t>Riego</t>
  </si>
  <si>
    <t>Animales</t>
  </si>
  <si>
    <t>2 500</t>
  </si>
  <si>
    <t>5 000</t>
  </si>
  <si>
    <t>(µS/cm)</t>
  </si>
  <si>
    <t>6,5 – 8,5</t>
  </si>
  <si>
    <t>6,5 – 8,4</t>
  </si>
  <si>
    <t>0,2</t>
  </si>
  <si>
    <t>0,5</t>
  </si>
  <si>
    <t>0,1</t>
  </si>
  <si>
    <t>RESULTADOS ANÁLISIS FISICOS DE LA CALIDAD DE AGUA DRENADA DV-4.0 TRIBUTARIOS C.MADRE AGUA TURBINADA CHV 
ABRIL 2022</t>
  </si>
  <si>
    <t>RESULTADOS ANÁLISIS QUIMICOS DE LA CALIDAD DE AGUA DRENADA DV-4.0 TRIBUTARIOS C.MADRE AGUA TURBINADA CHV 
ABRIL  2022</t>
  </si>
  <si>
    <t>RESULTADOS ANÁLISISMICROBIOLOGICOS DE LA CALIDAD DE AGUA DRENADA DV-4.0 TRIBUTARIOS C.MADRE AGUA TURBINADA CHV 
ABRIL 2022</t>
  </si>
  <si>
    <t>M1</t>
  </si>
  <si>
    <t>M2</t>
  </si>
  <si>
    <t>M3</t>
  </si>
  <si>
    <t>M4</t>
  </si>
  <si>
    <t>M5</t>
  </si>
  <si>
    <t>M6</t>
  </si>
  <si>
    <t>M7</t>
  </si>
  <si>
    <t>ms</t>
  </si>
  <si>
    <t>us</t>
  </si>
  <si>
    <t>RESULTADOS ANÁLISIS FISICOS DE LA CALIDAD DE AGUA DRENADA DV-4.0 TRIBUTARIOS C.MADRE AGUA TURBINADA CHV  - ABRIL 2022</t>
  </si>
  <si>
    <t>RESULTADOS ANÁLISIS QUIMICOS DE LA CALIDAD DE AGUA DRENADA DV-4.0 TRIBUTARIOS C.MADRE AGUA TURBINADA CHV - ABRIL  2022</t>
  </si>
  <si>
    <t>ABRIL</t>
  </si>
  <si>
    <t>Turbidez - ABRIL</t>
  </si>
  <si>
    <t>Turbidez - MARZO</t>
  </si>
  <si>
    <t>Sulfatos  (SO₄²-) - ABRIL</t>
  </si>
  <si>
    <t>Sulfatos  (SO₄²-) - MARZO</t>
  </si>
  <si>
    <t xml:space="preserve">LMP-DS N° 004-2017 </t>
  </si>
  <si>
    <t>Cloruros (Cl-) - ABRIL</t>
  </si>
  <si>
    <t>Cloruros (Cl-) - MARZO</t>
  </si>
  <si>
    <t>COLIFORMES TOTALES</t>
  </si>
  <si>
    <t>COLIFORMES FECALES</t>
  </si>
  <si>
    <t>E.COLI</t>
  </si>
  <si>
    <t>PRESUNTIVA - CALDO LAURYL</t>
  </si>
  <si>
    <t>CONFIRMATIVA - CALDO BRILLA</t>
  </si>
  <si>
    <t>COLIFORMES TOTALES - RESULTADOS</t>
  </si>
  <si>
    <t>COLIFORMES FECALES - RESULTADOS</t>
  </si>
  <si>
    <t>E.COLI- RESULTADOS</t>
  </si>
  <si>
    <t>3.2.2</t>
  </si>
  <si>
    <t>3.2.3</t>
  </si>
  <si>
    <t>2.3.2</t>
  </si>
  <si>
    <t>2.2.2</t>
  </si>
  <si>
    <t>2.2.1</t>
  </si>
  <si>
    <t>1.2.3</t>
  </si>
  <si>
    <t>1.1.2</t>
  </si>
  <si>
    <t>1.1.1</t>
  </si>
  <si>
    <t>1.2.1</t>
  </si>
  <si>
    <t>confiamtiva</t>
  </si>
  <si>
    <t>0.0.1</t>
  </si>
  <si>
    <t>0.1.1</t>
  </si>
  <si>
    <t>1.1.0</t>
  </si>
  <si>
    <t>0.2.1</t>
  </si>
  <si>
    <t>1.0.0</t>
  </si>
  <si>
    <t>.00.1</t>
  </si>
  <si>
    <t>0.1.2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</si>
  <si>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MARZO</t>
    </r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</si>
  <si>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ABRIL</t>
    </r>
  </si>
  <si>
    <t>Manganeso (Mn) - ABRIL</t>
  </si>
  <si>
    <t>Manganeso (Mn) - MARZO</t>
  </si>
  <si>
    <t>Hierro (Fe) - ABRIL</t>
  </si>
  <si>
    <t>Hierro (Fe) - MARZO</t>
  </si>
  <si>
    <t>Cobre (Cu) - ABRIL</t>
  </si>
  <si>
    <t>Cobre (Cu) - MARZO</t>
  </si>
  <si>
    <t>LMP-DS N° 004-2017  - RIEGO</t>
  </si>
  <si>
    <t>LMP-DS N° 004-2017 - ANIMALES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</si>
  <si>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ABRIL</t>
    </r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</si>
  <si>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MARZO</t>
    </r>
  </si>
  <si>
    <t>Nitritos NO2− - MARZO</t>
  </si>
  <si>
    <t>Dureza - ABRIL</t>
  </si>
  <si>
    <t>Dureza - MARZO</t>
  </si>
  <si>
    <t xml:space="preserve">COLIFORMES TOTALES </t>
  </si>
  <si>
    <t>RIEGO NO RESTRINGIDO</t>
  </si>
  <si>
    <t>RIEGO RESTRINGIDO</t>
  </si>
  <si>
    <t>BEBIDA DE ANIMALES</t>
  </si>
  <si>
    <t>DS N° 004-2017</t>
  </si>
  <si>
    <t>RESULTADOS</t>
  </si>
  <si>
    <t>Cultivo</t>
  </si>
  <si>
    <t>CE límite (a) (dS/m)</t>
  </si>
  <si>
    <t>Tipo tolerancia</t>
  </si>
  <si>
    <t>Cebolla</t>
  </si>
  <si>
    <t>Sensible</t>
  </si>
  <si>
    <t>Cebolla tierna</t>
  </si>
  <si>
    <t>Guisante</t>
  </si>
  <si>
    <t>Judía</t>
  </si>
  <si>
    <t>Zanahoria</t>
  </si>
  <si>
    <t>Alfalfa</t>
  </si>
  <si>
    <t>Moderadamente sensible</t>
  </si>
  <si>
    <t>Apio</t>
  </si>
  <si>
    <t>Avena</t>
  </si>
  <si>
    <t>Berenjena</t>
  </si>
  <si>
    <t>Col Brócoli</t>
  </si>
  <si>
    <t>Calabaza</t>
  </si>
  <si>
    <t>Coliflor</t>
  </si>
  <si>
    <t>Espinaca</t>
  </si>
  <si>
    <t>Girasol</t>
  </si>
  <si>
    <t>Judía verde</t>
  </si>
  <si>
    <t>Lechuga</t>
  </si>
  <si>
    <t>Lino</t>
  </si>
  <si>
    <t>Maíz dulce</t>
  </si>
  <si>
    <t>Maíz grano</t>
  </si>
  <si>
    <t>Melón</t>
  </si>
  <si>
    <t>Patata</t>
  </si>
  <si>
    <t>Pepino</t>
  </si>
  <si>
    <t>Pimiento</t>
  </si>
  <si>
    <t>Rábano</t>
  </si>
  <si>
    <t>Sandía</t>
  </si>
  <si>
    <t>Tomate</t>
  </si>
  <si>
    <t>Alcachofa</t>
  </si>
  <si>
    <t>Sorgo grano</t>
  </si>
  <si>
    <t>Trigo</t>
  </si>
  <si>
    <t>Algodón</t>
  </si>
  <si>
    <t>Tolerante</t>
  </si>
  <si>
    <t>Cebada</t>
  </si>
  <si>
    <t>Remolacha azucarera</t>
  </si>
  <si>
    <t>Cultivos hortícolas:</t>
  </si>
  <si>
    <t>Cultivos leñosos:</t>
  </si>
  <si>
    <t>Aguacate</t>
  </si>
  <si>
    <t>Albaricoquero</t>
  </si>
  <si>
    <t>Almendro</t>
  </si>
  <si>
    <t>Cerezo</t>
  </si>
  <si>
    <t>Ciruelo</t>
  </si>
  <si>
    <t>Caqui</t>
  </si>
  <si>
    <t>Mandarino</t>
  </si>
  <si>
    <t>Manzano</t>
  </si>
  <si>
    <t>Limonero x Naranjo amargo</t>
  </si>
  <si>
    <t>Limonero x Citrus Macrophylla</t>
  </si>
  <si>
    <t>Melocotonero</t>
  </si>
  <si>
    <t>Naranjo</t>
  </si>
  <si>
    <t>Níspero</t>
  </si>
  <si>
    <t>Peral</t>
  </si>
  <si>
    <t>Pomelo</t>
  </si>
  <si>
    <t>Limonero x Mandar. Cleopatra</t>
  </si>
  <si>
    <t>Limonero</t>
  </si>
  <si>
    <t>Viña</t>
  </si>
  <si>
    <t>Granado</t>
  </si>
  <si>
    <t>Higuera</t>
  </si>
  <si>
    <t>Olivo</t>
  </si>
  <si>
    <t>Palmera</t>
  </si>
  <si>
    <t>Toronja</t>
  </si>
  <si>
    <t>Sensibilidad de diferentes cultivos hortícolas, frutales y extensivos al pH del medio</t>
  </si>
  <si>
    <t>HORTÍCOLAS</t>
  </si>
  <si>
    <t>FRUTALES</t>
  </si>
  <si>
    <t>EXTENSIVOS</t>
  </si>
  <si>
    <t>Acelga</t>
  </si>
  <si>
    <t>6.0-7.5</t>
  </si>
  <si>
    <t>Albaricoque</t>
  </si>
  <si>
    <t>6.0-6.8</t>
  </si>
  <si>
    <t>6.5-7.8</t>
  </si>
  <si>
    <t>6.1-7.4</t>
  </si>
  <si>
    <t>5.0-6.2</t>
  </si>
  <si>
    <t>5.4-6.0</t>
  </si>
  <si>
    <t>Avellano</t>
  </si>
  <si>
    <t>6.0-7.0</t>
  </si>
  <si>
    <t>Alpiste</t>
  </si>
  <si>
    <t>Boniato</t>
  </si>
  <si>
    <t>5.1-6.0</t>
  </si>
  <si>
    <t>Café</t>
  </si>
  <si>
    <t>5.0-7.0</t>
  </si>
  <si>
    <t>Altramuz</t>
  </si>
  <si>
    <t>Bróculi</t>
  </si>
  <si>
    <t>6.0-7.2</t>
  </si>
  <si>
    <t>Castaño</t>
  </si>
  <si>
    <t>5.0-6.5</t>
  </si>
  <si>
    <t>Arroz</t>
  </si>
  <si>
    <t>5.6-6.8</t>
  </si>
  <si>
    <t>Encina</t>
  </si>
  <si>
    <t>4.8-6.0</t>
  </si>
  <si>
    <t>5.2-7.1</t>
  </si>
  <si>
    <t>Grosellero</t>
  </si>
  <si>
    <t>Batatas</t>
  </si>
  <si>
    <t>5.3-6.5</t>
  </si>
  <si>
    <t>Col</t>
  </si>
  <si>
    <t>Cacahuete</t>
  </si>
  <si>
    <t>Col de Bruselas</t>
  </si>
  <si>
    <t>5.7-7.2</t>
  </si>
  <si>
    <t>5.3-6.7</t>
  </si>
  <si>
    <t>Caña de azúcar</t>
  </si>
  <si>
    <t>6.0-7.8</t>
  </si>
  <si>
    <t>5.3-6.8</t>
  </si>
  <si>
    <t>Cáñamo</t>
  </si>
  <si>
    <t>6.2-7.2</t>
  </si>
  <si>
    <t>Escarola</t>
  </si>
  <si>
    <t>Membrillero</t>
  </si>
  <si>
    <t>5.5-7.2</t>
  </si>
  <si>
    <t>6.4-7.8</t>
  </si>
  <si>
    <t>Espárrago</t>
  </si>
  <si>
    <t>6.3-7.5</t>
  </si>
  <si>
    <t>Centeno</t>
  </si>
  <si>
    <t>6.3-7.1</t>
  </si>
  <si>
    <t>Nogal</t>
  </si>
  <si>
    <t>6.2-7.8</t>
  </si>
  <si>
    <t>Colza</t>
  </si>
  <si>
    <t>5.8-7.1</t>
  </si>
  <si>
    <t>Fresa</t>
  </si>
  <si>
    <t>Dáctilo</t>
  </si>
  <si>
    <t>5.6-7.2</t>
  </si>
  <si>
    <t>Guisantes</t>
  </si>
  <si>
    <t>5.9-7.3</t>
  </si>
  <si>
    <t>Judías</t>
  </si>
  <si>
    <t>5.8-6.8</t>
  </si>
  <si>
    <t>Pino</t>
  </si>
  <si>
    <t>5.0-6.0</t>
  </si>
  <si>
    <t>Habas</t>
  </si>
  <si>
    <t>7.4-8.1</t>
  </si>
  <si>
    <t>Lechugas</t>
  </si>
  <si>
    <t>5.8-7.2</t>
  </si>
  <si>
    <t>Platanera</t>
  </si>
  <si>
    <t>Lenteja</t>
  </si>
  <si>
    <t>5.5-7.5</t>
  </si>
  <si>
    <t>Vid</t>
  </si>
  <si>
    <t>Maíz</t>
  </si>
  <si>
    <t>Nabo</t>
  </si>
  <si>
    <t>5.7-6.7</t>
  </si>
  <si>
    <t>Mijo</t>
  </si>
  <si>
    <t>5.1-6.8</t>
  </si>
  <si>
    <t>Mostaza</t>
  </si>
  <si>
    <t>6.0-8.0</t>
  </si>
  <si>
    <t>6.3-7.8</t>
  </si>
  <si>
    <t>Patatas</t>
  </si>
  <si>
    <t>5.0-5.8</t>
  </si>
  <si>
    <t>Soja</t>
  </si>
  <si>
    <t>6.1-7.2</t>
  </si>
  <si>
    <t>Remolacha</t>
  </si>
  <si>
    <t>6.0-7.6</t>
  </si>
  <si>
    <t>Sorgo</t>
  </si>
  <si>
    <t>5.8-7.5</t>
  </si>
  <si>
    <t>Tabaco</t>
  </si>
  <si>
    <t>5.5-7.3</t>
  </si>
  <si>
    <t>5.7-7.0</t>
  </si>
  <si>
    <t>Trébol blanco</t>
  </si>
  <si>
    <t>5.5-7.0</t>
  </si>
  <si>
    <t>ANALISIS MICROBIOLÓGICOS</t>
  </si>
  <si>
    <t>ANALISIS QUÍMICOS</t>
  </si>
  <si>
    <t>ANALISIS FÍSICOS</t>
  </si>
  <si>
    <t>Unidad de Medida</t>
  </si>
  <si>
    <t>Bebida Animales</t>
  </si>
  <si>
    <t>Riego Vegetales</t>
  </si>
  <si>
    <t>RESULTADOS ANÁLISIS FISICOS DE LA CALIDAD DE AGUA DRENADA DV-4.0 TRIBUTARIOS DE LA MARGEN IZQUIERDA DEL RIO VIRÚ
MAYO  2022</t>
  </si>
  <si>
    <t>*</t>
  </si>
  <si>
    <t>* no se cuenta con  reactivo para realizar este analisis</t>
  </si>
  <si>
    <t>Turbidez - MAYO</t>
  </si>
  <si>
    <t>Sulfatos  (SO₄²-) - MAYO</t>
  </si>
  <si>
    <t>Conductividad Eléctrica - ABRIL</t>
  </si>
  <si>
    <t>Conductividad Eléctrica - MAYO</t>
  </si>
  <si>
    <t xml:space="preserve">LMP-DS N° 004-2017 - RIEGO </t>
  </si>
  <si>
    <t>LMP-DS N° 004-2017 - BEBIDA ANIMALES</t>
  </si>
  <si>
    <t>pH - ABRIL</t>
  </si>
  <si>
    <t>ph - MAYO</t>
  </si>
  <si>
    <t>LMP-DS N° 004-2017</t>
  </si>
  <si>
    <t>Sólidos Totales  Disueltos - ABRIL</t>
  </si>
  <si>
    <t>Sólidos Totales  Disueltos - MAYO</t>
  </si>
  <si>
    <t>Temperatura - ABRIL</t>
  </si>
  <si>
    <t>Temperatura - MAYO</t>
  </si>
  <si>
    <t>Cloruros (Cl-) - MAYO</t>
  </si>
  <si>
    <r>
      <t>Nitratos  (NO</t>
    </r>
    <r>
      <rPr>
        <sz val="5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-) - MAYO</t>
    </r>
  </si>
  <si>
    <t>Manganeso (Mn) - MAYO</t>
  </si>
  <si>
    <t>Hierro (Fe) - MAYO</t>
  </si>
  <si>
    <t>Cobre (Cu) - MAYO</t>
  </si>
  <si>
    <r>
      <t>Cromo Hexavalente (Cr</t>
    </r>
    <r>
      <rPr>
        <sz val="5"/>
        <color rgb="FF000000"/>
        <rFont val="Calibri"/>
        <family val="2"/>
      </rPr>
      <t>6+</t>
    </r>
    <r>
      <rPr>
        <sz val="9"/>
        <color rgb="FF000000"/>
        <rFont val="Calibri"/>
        <family val="2"/>
      </rPr>
      <t>) - MAYO</t>
    </r>
  </si>
  <si>
    <t>RESULTADOS ANÁLISIS FISICOS DE LA CALIDAD DE AGUA DRENADA DV-4.0 TRIBUTARIOS DE LA MARGEN IZQUIERDA DEL RIO VIRÚ
JUNIO  2022</t>
  </si>
  <si>
    <t>* no se cuenta con  reactivo para realizar este analisis
+ no se cuenta con indumentaria minima requerida para su analisis</t>
  </si>
  <si>
    <t>6.4.</t>
  </si>
  <si>
    <t>RESULTADOS ANÁLISIS FISICOS DE LA CALIDAD DE AGUA DRENADA DV-4.0 TRIBUTARIOS DE LA MARGEN IZQUIERDA DEL RIO VIRÚ
JULIO  2022</t>
  </si>
  <si>
    <t>RESULTADOS ANÁLISIS FISICOS DE LA CALIDAD DE AGUA DRENADA DV-4.0 TRIBUTARIOS DE LA MARGEN IZQUIERDA DEL RIO VIRÚ
AGOSTO  2022</t>
  </si>
  <si>
    <r>
      <t>Nitratos  (NO</t>
    </r>
    <r>
      <rPr>
        <b/>
        <sz val="5"/>
        <color rgb="FF000000"/>
        <rFont val="Calibri"/>
        <family val="2"/>
      </rPr>
      <t>3</t>
    </r>
    <r>
      <rPr>
        <b/>
        <sz val="9"/>
        <color rgb="FF000000"/>
        <rFont val="Calibri"/>
        <family val="2"/>
      </rPr>
      <t>-)</t>
    </r>
  </si>
  <si>
    <t xml:space="preserve">Turbidez </t>
  </si>
  <si>
    <t>RESULTADOS ANÁLISIS FISICOS DE LA CALIDAD DE AGUA DRENADA DV-4.0 TRIBUTARIOS DE LA MARGEN IZQUIERDA DEL RIO VIRÚ
SETIEMBRE  2022</t>
  </si>
  <si>
    <t>RESULTADOS ANÁLISIS FISICOS DE LA CALIDAD DE AGUA DRENADA DV-4.0 TRIBUTARIOS DE LA MARGEN IZQUIERDA DEL RIO VIRÚ
OCTUBRE  2022</t>
  </si>
  <si>
    <t>COLIFORMES TERMOTOLERANTES</t>
  </si>
  <si>
    <t>RESULTADOS ANÁLISIS FISICOS DE LA CALIDAD DE AGUA DRENADA DV-4.0 TRIBUTARIOS DE LA MARGEN IZQUIERDA DEL RIO VIRÚ
NOVIEMBRE  2022</t>
  </si>
  <si>
    <r>
      <t>Nitritos(NO</t>
    </r>
    <r>
      <rPr>
        <b/>
        <sz val="5"/>
        <color rgb="FF000000"/>
        <rFont val="Calibri"/>
        <family val="2"/>
      </rPr>
      <t>2</t>
    </r>
    <r>
      <rPr>
        <b/>
        <sz val="9"/>
        <color rgb="FF000000"/>
        <rFont val="Calibri"/>
        <family val="2"/>
      </rPr>
      <t>-)</t>
    </r>
  </si>
  <si>
    <r>
      <t>Cromo Hexavalente (Cr</t>
    </r>
    <r>
      <rPr>
        <b/>
        <sz val="5"/>
        <color rgb="FF000000"/>
        <rFont val="Calibri"/>
        <family val="2"/>
      </rPr>
      <t>6+</t>
    </r>
    <r>
      <rPr>
        <b/>
        <sz val="9"/>
        <color rgb="FF000000"/>
        <rFont val="Calibri"/>
        <family val="2"/>
      </rPr>
      <t>)</t>
    </r>
  </si>
  <si>
    <t>Zinc (Zn)</t>
  </si>
  <si>
    <t xml:space="preserve"> GASTO (Cl-)</t>
  </si>
  <si>
    <t>LMP-DS N° 004-2017  - RIEGO Y ANIMALES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</si>
  <si>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</si>
  <si>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</si>
  <si>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</si>
  <si>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</si>
  <si>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</si>
  <si>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</si>
  <si>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</si>
  <si>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</si>
  <si>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TURBIDEZ</t>
  </si>
  <si>
    <t>MUESTRA</t>
  </si>
  <si>
    <t>CONDUCTIVIDAD ELÉCTRICA</t>
  </si>
  <si>
    <t>SOLIDOS TOTALES DISUELTOS</t>
  </si>
  <si>
    <t>TEMPERATURA</t>
  </si>
  <si>
    <t>NO ESPECIFICA</t>
  </si>
  <si>
    <t>Nitratos  (NO3-)</t>
  </si>
  <si>
    <t>Nitritos(NO2-)</t>
  </si>
  <si>
    <t>Cromo Hexavalente (Cr6+)</t>
  </si>
  <si>
    <t>RESULTADOS ANÁLISIS FISICOS DE LA CALIDAD DE AGUA DRENADA DV-4.0 TRIBUTARIOS DE LA MARGEN IZQUIERDA DEL RIO VIRÚ
DICIEMBRE  2022</t>
  </si>
  <si>
    <t>DICIEMBRE</t>
  </si>
  <si>
    <t>6.5 - 8.5</t>
  </si>
  <si>
    <t>6.5 - 8.4</t>
  </si>
  <si>
    <t>SULFATOS  (SO₄²-)</t>
  </si>
  <si>
    <t>CLORUROS (Cl-)</t>
  </si>
  <si>
    <t>NITRATOS (NO3-)</t>
  </si>
  <si>
    <t>NITRITOS (NO2-)</t>
  </si>
  <si>
    <t>COBRE (Cu)</t>
  </si>
  <si>
    <t>CROMO HEXAVALENTE (Cr6+)</t>
  </si>
  <si>
    <t>MANGANESO (Mn)</t>
  </si>
  <si>
    <t>HIERRO (Fe)</t>
  </si>
  <si>
    <t>ZINC (Zn)</t>
  </si>
  <si>
    <t>NMP/100 ML</t>
  </si>
  <si>
    <r>
      <t>Nitritos  (NO</t>
    </r>
    <r>
      <rPr>
        <sz val="5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>-)</t>
    </r>
  </si>
  <si>
    <t>RESULTADOS ANÁLISIS FISICOS DE LA CALIDAD DE AGUA DRENADA DV-4.0 TRIBUTARIOS DE LA MARGEN IZQUIERDA DEL RIO VIRÚ
JULIO  2023</t>
  </si>
  <si>
    <t>RESULTADOS ANÁLISIS FISICOS DE LA CALIDAD DE AGUA DRENADA DV-4.0 TRIBUTARIOS DE LA MARGEN IZQUIERDA DEL RIO VIRÚ
SETIEMBRE  2023</t>
  </si>
  <si>
    <t>RESULTADOS ANÁLISIS FISICOS DE LA CALIDAD DE AGUA DRENADA DV-4.0 TRIBUTARIOS DE LA MARGEN IZQUIERDA DEL RIO VIRÚ
JUNIO  2023</t>
  </si>
  <si>
    <t>MAX</t>
  </si>
  <si>
    <t>MIN</t>
  </si>
  <si>
    <r>
      <t>Nitritos  (NO</t>
    </r>
    <r>
      <rPr>
        <b/>
        <sz val="5"/>
        <color rgb="FF000000"/>
        <rFont val="Calibri"/>
        <family val="2"/>
      </rPr>
      <t>2</t>
    </r>
    <r>
      <rPr>
        <b/>
        <sz val="9"/>
        <color rgb="FF000000"/>
        <rFont val="Calibri"/>
        <family val="2"/>
      </rPr>
      <t>-)</t>
    </r>
  </si>
  <si>
    <t>RESULTADOS ANÁLISIS FISICOS DE LA CALIDAD DE AGUA DRENADA DV-4.0 TRIBUTARIOS DE LA MARGEN IZQUIERDA DEL RIO VIRÚ
FEBRERO 2025</t>
  </si>
  <si>
    <t>RESULTADOS ANÁLISIS FISICOS DE LA CALIDAD DE AGUA DRENADA DV-4.0 TRIBUTARIOS DE LA MARGEN IZQUIERDA DEL RIO VIRÚ
JULIO 2025</t>
  </si>
  <si>
    <t>Cloruros (Cl) (*)</t>
  </si>
  <si>
    <t>Calcio (Ca)  (*)</t>
  </si>
  <si>
    <t>Sodio (Na) (*)</t>
  </si>
  <si>
    <t>Amonio (NH4) (*)</t>
  </si>
  <si>
    <t>Magnesio (Mg) (*)</t>
  </si>
  <si>
    <t>Potasio (K)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</si>
</sst>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  <numFmt numFmtId="168" formatCode="0.000"/>
    <numFmt numFmtId="169" formatCode="_ * #,##0.000_ ;_ * \-#,##0.000_ ;_ * &quot;-&quot;??_ ;_ @_ "/>
  </numFmts>
  <fonts count="3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FFFF"/>
      <name val="Calibri"/>
      <family val="2"/>
    </font>
    <font>
      <sz val="10"/>
      <color theme="1"/>
      <name val="Times New Roman"/>
      <family val="1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theme="0"/>
      <name val="Calibri"/>
      <family val="2"/>
    </font>
    <font>
      <sz val="8"/>
      <color rgb="FF000000"/>
      <name val="Calibri"/>
      <family val="2"/>
    </font>
    <font>
      <sz val="5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</font>
    <font>
      <sz val="8"/>
      <color rgb="FF3C4043"/>
      <name val="Arial"/>
      <family val="2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</font>
    <font>
      <sz val="7"/>
      <name val="Calibri"/>
      <family val="2"/>
    </font>
    <font>
      <sz val="7"/>
      <color rgb="FFFF0000"/>
      <name val="Calibri"/>
      <family val="2"/>
    </font>
    <font>
      <sz val="7"/>
      <color theme="0"/>
      <name val="Calibri"/>
      <family val="2"/>
    </font>
    <font>
      <b/>
      <sz val="9"/>
      <color theme="0"/>
      <name val="Calibri"/>
      <family val="2"/>
      <scheme val="minor"/>
    </font>
    <font>
      <b/>
      <sz val="18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02020"/>
      <name val="Arial"/>
      <family val="2"/>
    </font>
    <font>
      <b/>
      <sz val="15"/>
      <color theme="1"/>
      <name val="Calibri"/>
      <family val="2"/>
      <scheme val="minor"/>
    </font>
    <font>
      <b/>
      <sz val="12"/>
      <color rgb="FF202020"/>
      <name val="Arial"/>
      <family val="2"/>
    </font>
    <font>
      <b/>
      <sz val="9"/>
      <color rgb="FF000000"/>
      <name val="Calibri"/>
      <family val="2"/>
    </font>
    <font>
      <b/>
      <sz val="5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6D7F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E56A7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6" tint="-0.24994659260841701"/>
      </bottom>
      <diagonal/>
    </border>
    <border>
      <left style="medium">
        <color theme="0"/>
      </left>
      <right style="medium">
        <color theme="0"/>
      </right>
      <top style="thin">
        <color theme="6" tint="-0.24994659260841701"/>
      </top>
      <bottom style="medium">
        <color theme="0"/>
      </bottom>
      <diagonal/>
    </border>
    <border>
      <left style="medium">
        <color theme="0"/>
      </left>
      <right style="thin">
        <color theme="6" tint="-0.24994659260841701"/>
      </right>
      <top style="medium">
        <color theme="0"/>
      </top>
      <bottom style="medium">
        <color theme="0"/>
      </bottom>
      <diagonal/>
    </border>
    <border>
      <left style="thin">
        <color theme="6" tint="-0.2499465926084170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32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/>
    <xf numFmtId="0" fontId="11" fillId="0" borderId="0" xfId="0" applyFont="1"/>
    <xf numFmtId="0" fontId="10" fillId="0" borderId="1" xfId="0" applyFont="1" applyBorder="1" applyAlignment="1">
      <alignment horizontal="center" vertical="center" wrapText="1"/>
    </xf>
    <xf numFmtId="0" fontId="4" fillId="2" borderId="0" xfId="0" quotePrefix="1" applyFont="1" applyFill="1" applyAlignment="1">
      <alignment horizontal="center" vertical="center" wrapText="1"/>
    </xf>
    <xf numFmtId="0" fontId="12" fillId="0" borderId="0" xfId="0" applyFont="1"/>
    <xf numFmtId="165" fontId="13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17" fillId="6" borderId="2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21" fillId="0" borderId="17" xfId="0" applyFont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166" fontId="4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7" fontId="4" fillId="2" borderId="1" xfId="1" applyNumberFormat="1" applyFont="1" applyFill="1" applyBorder="1" applyAlignment="1">
      <alignment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quotePrefix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165" fontId="10" fillId="2" borderId="9" xfId="1" applyNumberFormat="1" applyFont="1" applyFill="1" applyBorder="1" applyAlignment="1">
      <alignment vertical="center" wrapText="1"/>
    </xf>
    <xf numFmtId="165" fontId="4" fillId="2" borderId="9" xfId="1" applyNumberFormat="1" applyFont="1" applyFill="1" applyBorder="1" applyAlignment="1">
      <alignment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/>
    </xf>
    <xf numFmtId="0" fontId="28" fillId="5" borderId="1" xfId="0" quotePrefix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 wrapText="1"/>
    </xf>
    <xf numFmtId="0" fontId="30" fillId="9" borderId="20" xfId="0" applyFont="1" applyFill="1" applyBorder="1" applyAlignment="1">
      <alignment horizontal="center"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165" fontId="10" fillId="10" borderId="9" xfId="1" applyNumberFormat="1" applyFont="1" applyFill="1" applyBorder="1" applyAlignment="1">
      <alignment vertical="center" wrapText="1"/>
    </xf>
    <xf numFmtId="165" fontId="4" fillId="10" borderId="9" xfId="1" applyNumberFormat="1" applyFont="1" applyFill="1" applyBorder="1" applyAlignment="1">
      <alignment vertical="center" wrapText="1"/>
    </xf>
    <xf numFmtId="1" fontId="4" fillId="10" borderId="9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1" xfId="0" quotePrefix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5" fontId="4" fillId="10" borderId="1" xfId="1" applyNumberFormat="1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6" fontId="5" fillId="10" borderId="1" xfId="0" applyNumberFormat="1" applyFont="1" applyFill="1" applyBorder="1" applyAlignment="1">
      <alignment horizontal="center" vertical="center" wrapText="1"/>
    </xf>
    <xf numFmtId="166" fontId="10" fillId="10" borderId="1" xfId="0" applyNumberFormat="1" applyFont="1" applyFill="1" applyBorder="1" applyAlignment="1">
      <alignment horizontal="center" vertical="center" wrapText="1"/>
    </xf>
    <xf numFmtId="0" fontId="4" fillId="10" borderId="1" xfId="0" quotePrefix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24" fillId="12" borderId="9" xfId="0" applyFont="1" applyFill="1" applyBorder="1" applyAlignment="1">
      <alignment horizontal="center" vertical="center" wrapText="1"/>
    </xf>
    <xf numFmtId="165" fontId="10" fillId="12" borderId="9" xfId="1" applyNumberFormat="1" applyFont="1" applyFill="1" applyBorder="1" applyAlignment="1">
      <alignment vertical="center" wrapText="1"/>
    </xf>
    <xf numFmtId="165" fontId="4" fillId="12" borderId="9" xfId="1" applyNumberFormat="1" applyFont="1" applyFill="1" applyBorder="1" applyAlignment="1">
      <alignment vertical="center" wrapText="1"/>
    </xf>
    <xf numFmtId="1" fontId="4" fillId="12" borderId="9" xfId="0" applyNumberFormat="1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4" fillId="12" borderId="1" xfId="0" quotePrefix="1" applyFont="1" applyFill="1" applyBorder="1" applyAlignment="1">
      <alignment horizontal="center" vertical="center" wrapText="1"/>
    </xf>
    <xf numFmtId="166" fontId="4" fillId="12" borderId="1" xfId="0" applyNumberFormat="1" applyFont="1" applyFill="1" applyBorder="1" applyAlignment="1">
      <alignment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165" fontId="4" fillId="12" borderId="1" xfId="1" applyNumberFormat="1" applyFont="1" applyFill="1" applyBorder="1" applyAlignment="1">
      <alignment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0" fontId="4" fillId="12" borderId="1" xfId="0" quotePrefix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65" fontId="31" fillId="12" borderId="9" xfId="1" applyNumberFormat="1" applyFont="1" applyFill="1" applyBorder="1" applyAlignment="1">
      <alignment vertical="center" wrapText="1"/>
    </xf>
    <xf numFmtId="166" fontId="31" fillId="12" borderId="1" xfId="0" applyNumberFormat="1" applyFont="1" applyFill="1" applyBorder="1" applyAlignment="1">
      <alignment horizontal="center" vertical="center" wrapText="1"/>
    </xf>
    <xf numFmtId="0" fontId="33" fillId="13" borderId="19" xfId="0" applyFont="1" applyFill="1" applyBorder="1" applyAlignment="1">
      <alignment horizontal="center" vertical="center" wrapText="1"/>
    </xf>
    <xf numFmtId="0" fontId="33" fillId="13" borderId="20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 wrapText="1"/>
    </xf>
    <xf numFmtId="0" fontId="24" fillId="15" borderId="9" xfId="0" applyFont="1" applyFill="1" applyBorder="1" applyAlignment="1">
      <alignment horizontal="center" vertical="center" wrapText="1"/>
    </xf>
    <xf numFmtId="165" fontId="10" fillId="15" borderId="9" xfId="1" applyNumberFormat="1" applyFont="1" applyFill="1" applyBorder="1" applyAlignment="1">
      <alignment vertical="center" wrapText="1"/>
    </xf>
    <xf numFmtId="165" fontId="4" fillId="15" borderId="9" xfId="1" applyNumberFormat="1" applyFont="1" applyFill="1" applyBorder="1" applyAlignment="1">
      <alignment vertical="center" wrapText="1"/>
    </xf>
    <xf numFmtId="165" fontId="31" fillId="15" borderId="9" xfId="1" applyNumberFormat="1" applyFont="1" applyFill="1" applyBorder="1" applyAlignment="1">
      <alignment vertical="center" wrapText="1"/>
    </xf>
    <xf numFmtId="1" fontId="4" fillId="15" borderId="9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15" borderId="1" xfId="0" quotePrefix="1" applyFont="1" applyFill="1" applyBorder="1" applyAlignment="1">
      <alignment horizontal="center" vertical="center" wrapText="1"/>
    </xf>
    <xf numFmtId="166" fontId="4" fillId="15" borderId="1" xfId="0" applyNumberFormat="1" applyFont="1" applyFill="1" applyBorder="1" applyAlignment="1">
      <alignment vertical="center" wrapText="1"/>
    </xf>
    <xf numFmtId="166" fontId="4" fillId="15" borderId="1" xfId="0" applyNumberFormat="1" applyFont="1" applyFill="1" applyBorder="1" applyAlignment="1">
      <alignment horizontal="center" vertical="center" wrapText="1"/>
    </xf>
    <xf numFmtId="165" fontId="4" fillId="15" borderId="1" xfId="1" applyNumberFormat="1" applyFont="1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66" fontId="5" fillId="15" borderId="1" xfId="0" applyNumberFormat="1" applyFont="1" applyFill="1" applyBorder="1" applyAlignment="1">
      <alignment horizontal="center" vertical="center" wrapText="1"/>
    </xf>
    <xf numFmtId="166" fontId="10" fillId="15" borderId="1" xfId="0" applyNumberFormat="1" applyFont="1" applyFill="1" applyBorder="1" applyAlignment="1">
      <alignment horizontal="center" vertical="center" wrapText="1"/>
    </xf>
    <xf numFmtId="166" fontId="31" fillId="15" borderId="1" xfId="0" applyNumberFormat="1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34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4" fillId="0" borderId="0" xfId="0" applyFont="1" applyAlignment="1">
      <alignment horizontal="left" vertical="center" wrapText="1"/>
    </xf>
    <xf numFmtId="2" fontId="10" fillId="15" borderId="1" xfId="0" applyNumberFormat="1" applyFont="1" applyFill="1" applyBorder="1" applyAlignment="1">
      <alignment horizontal="center" vertical="center" wrapText="1"/>
    </xf>
    <xf numFmtId="2" fontId="31" fillId="15" borderId="1" xfId="0" applyNumberFormat="1" applyFont="1" applyFill="1" applyBorder="1" applyAlignment="1">
      <alignment horizontal="center" vertical="center" wrapText="1"/>
    </xf>
    <xf numFmtId="168" fontId="10" fillId="15" borderId="1" xfId="0" applyNumberFormat="1" applyFont="1" applyFill="1" applyBorder="1" applyAlignment="1">
      <alignment horizontal="center" vertical="center" wrapText="1"/>
    </xf>
    <xf numFmtId="168" fontId="5" fillId="15" borderId="1" xfId="0" applyNumberFormat="1" applyFont="1" applyFill="1" applyBorder="1" applyAlignment="1">
      <alignment horizontal="center" vertical="center" wrapText="1"/>
    </xf>
    <xf numFmtId="168" fontId="31" fillId="15" borderId="1" xfId="0" applyNumberFormat="1" applyFont="1" applyFill="1" applyBorder="1" applyAlignment="1">
      <alignment horizontal="center" vertical="center" wrapText="1"/>
    </xf>
    <xf numFmtId="166" fontId="5" fillId="15" borderId="12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29" fillId="17" borderId="21" xfId="0" applyFont="1" applyFill="1" applyBorder="1" applyAlignment="1">
      <alignment horizontal="center" vertical="center"/>
    </xf>
    <xf numFmtId="0" fontId="29" fillId="17" borderId="22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16" borderId="29" xfId="0" applyNumberFormat="1" applyFill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16" borderId="25" xfId="0" applyNumberFormat="1" applyFill="1" applyBorder="1" applyAlignment="1">
      <alignment horizontal="center" vertical="center"/>
    </xf>
    <xf numFmtId="166" fontId="0" fillId="4" borderId="25" xfId="0" applyNumberFormat="1" applyFill="1" applyBorder="1" applyAlignment="1">
      <alignment horizontal="center" vertical="center"/>
    </xf>
    <xf numFmtId="166" fontId="0" fillId="16" borderId="27" xfId="0" applyNumberFormat="1" applyFill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16" borderId="28" xfId="0" applyNumberForma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0" fillId="0" borderId="29" xfId="0" quotePrefix="1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168" fontId="0" fillId="4" borderId="25" xfId="0" applyNumberFormat="1" applyFill="1" applyBorder="1" applyAlignment="1">
      <alignment horizontal="center" vertical="center"/>
    </xf>
    <xf numFmtId="168" fontId="0" fillId="0" borderId="30" xfId="0" applyNumberFormat="1" applyBorder="1" applyAlignment="1">
      <alignment horizontal="center" vertical="center"/>
    </xf>
    <xf numFmtId="168" fontId="0" fillId="0" borderId="29" xfId="0" applyNumberFormat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168" fontId="0" fillId="0" borderId="28" xfId="0" applyNumberFormat="1" applyBorder="1" applyAlignment="1">
      <alignment horizontal="center" vertical="center"/>
    </xf>
    <xf numFmtId="168" fontId="0" fillId="0" borderId="26" xfId="0" applyNumberFormat="1" applyBorder="1" applyAlignment="1">
      <alignment horizontal="center" vertical="center"/>
    </xf>
    <xf numFmtId="166" fontId="0" fillId="0" borderId="29" xfId="0" quotePrefix="1" applyNumberFormat="1" applyBorder="1" applyAlignment="1">
      <alignment horizontal="center" vertical="center"/>
    </xf>
    <xf numFmtId="166" fontId="0" fillId="4" borderId="29" xfId="0" applyNumberFormat="1" applyFill="1" applyBorder="1" applyAlignment="1">
      <alignment horizontal="center" vertical="center"/>
    </xf>
    <xf numFmtId="166" fontId="0" fillId="4" borderId="27" xfId="0" applyNumberFormat="1" applyFill="1" applyBorder="1" applyAlignment="1">
      <alignment horizontal="center" vertical="center"/>
    </xf>
    <xf numFmtId="166" fontId="0" fillId="4" borderId="26" xfId="0" applyNumberFormat="1" applyFill="1" applyBorder="1" applyAlignment="1">
      <alignment horizontal="center" vertical="center"/>
    </xf>
    <xf numFmtId="168" fontId="0" fillId="16" borderId="25" xfId="0" applyNumberFormat="1" applyFill="1" applyBorder="1" applyAlignment="1">
      <alignment horizontal="center" vertical="center"/>
    </xf>
    <xf numFmtId="168" fontId="0" fillId="4" borderId="27" xfId="0" applyNumberFormat="1" applyFill="1" applyBorder="1" applyAlignment="1">
      <alignment horizontal="center" vertical="center"/>
    </xf>
    <xf numFmtId="168" fontId="0" fillId="16" borderId="27" xfId="0" applyNumberFormat="1" applyFill="1" applyBorder="1" applyAlignment="1">
      <alignment horizontal="center" vertical="center"/>
    </xf>
    <xf numFmtId="166" fontId="0" fillId="16" borderId="29" xfId="0" applyNumberFormat="1" applyFill="1" applyBorder="1" applyAlignment="1">
      <alignment horizontal="center" vertical="center"/>
    </xf>
    <xf numFmtId="166" fontId="34" fillId="16" borderId="29" xfId="0" applyNumberFormat="1" applyFont="1" applyFill="1" applyBorder="1" applyAlignment="1">
      <alignment horizontal="center" vertical="center"/>
    </xf>
    <xf numFmtId="2" fontId="4" fillId="15" borderId="1" xfId="0" applyNumberFormat="1" applyFont="1" applyFill="1" applyBorder="1" applyAlignment="1">
      <alignment vertical="center" wrapText="1"/>
    </xf>
    <xf numFmtId="2" fontId="4" fillId="15" borderId="1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1" fontId="10" fillId="15" borderId="1" xfId="0" applyNumberFormat="1" applyFont="1" applyFill="1" applyBorder="1" applyAlignment="1">
      <alignment horizontal="center" vertical="center" wrapText="1"/>
    </xf>
    <xf numFmtId="1" fontId="31" fillId="15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0" fontId="29" fillId="18" borderId="36" xfId="0" applyFont="1" applyFill="1" applyBorder="1" applyAlignment="1">
      <alignment horizontal="center" vertical="center"/>
    </xf>
    <xf numFmtId="0" fontId="29" fillId="18" borderId="42" xfId="0" applyFont="1" applyFill="1" applyBorder="1" applyAlignment="1">
      <alignment horizontal="center" vertical="center"/>
    </xf>
    <xf numFmtId="0" fontId="29" fillId="18" borderId="37" xfId="0" applyFont="1" applyFill="1" applyBorder="1" applyAlignment="1">
      <alignment horizontal="center" vertical="center"/>
    </xf>
    <xf numFmtId="0" fontId="29" fillId="18" borderId="31" xfId="0" applyFont="1" applyFill="1" applyBorder="1" applyAlignment="1">
      <alignment horizontal="center" vertical="center"/>
    </xf>
    <xf numFmtId="0" fontId="29" fillId="18" borderId="40" xfId="0" applyFont="1" applyFill="1" applyBorder="1" applyAlignment="1">
      <alignment horizontal="center" vertical="center"/>
    </xf>
    <xf numFmtId="0" fontId="29" fillId="18" borderId="49" xfId="0" applyFont="1" applyFill="1" applyBorder="1" applyAlignment="1">
      <alignment horizontal="center" vertical="center"/>
    </xf>
    <xf numFmtId="0" fontId="29" fillId="18" borderId="56" xfId="0" applyFont="1" applyFill="1" applyBorder="1" applyAlignment="1">
      <alignment horizontal="center" vertical="center"/>
    </xf>
    <xf numFmtId="0" fontId="29" fillId="18" borderId="57" xfId="0" applyFont="1" applyFill="1" applyBorder="1" applyAlignment="1">
      <alignment horizontal="center" vertical="center"/>
    </xf>
    <xf numFmtId="1" fontId="29" fillId="0" borderId="57" xfId="0" applyNumberFormat="1" applyFont="1" applyBorder="1" applyAlignment="1">
      <alignment horizontal="center" vertical="center"/>
    </xf>
    <xf numFmtId="1" fontId="29" fillId="0" borderId="42" xfId="0" applyNumberFormat="1" applyFont="1" applyBorder="1" applyAlignment="1">
      <alignment horizontal="center" vertical="center"/>
    </xf>
    <xf numFmtId="1" fontId="29" fillId="0" borderId="37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38" xfId="0" quotePrefix="1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16" borderId="46" xfId="0" applyFont="1" applyFill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43" xfId="0" quotePrefix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0" xfId="0" quotePrefix="1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4" borderId="47" xfId="0" applyFont="1" applyFill="1" applyBorder="1" applyAlignment="1">
      <alignment horizontal="center" vertical="center"/>
    </xf>
    <xf numFmtId="0" fontId="29" fillId="18" borderId="35" xfId="0" applyFont="1" applyFill="1" applyBorder="1" applyAlignment="1">
      <alignment horizontal="center" vertical="center"/>
    </xf>
    <xf numFmtId="0" fontId="29" fillId="18" borderId="2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18" borderId="43" xfId="0" applyFont="1" applyFill="1" applyBorder="1" applyAlignment="1">
      <alignment horizontal="center" vertical="center"/>
    </xf>
    <xf numFmtId="0" fontId="29" fillId="18" borderId="44" xfId="0" applyFont="1" applyFill="1" applyBorder="1" applyAlignment="1">
      <alignment horizontal="center" vertical="center"/>
    </xf>
    <xf numFmtId="0" fontId="29" fillId="18" borderId="45" xfId="0" applyFont="1" applyFill="1" applyBorder="1" applyAlignment="1">
      <alignment horizontal="center" vertical="center"/>
    </xf>
    <xf numFmtId="0" fontId="29" fillId="0" borderId="36" xfId="0" quotePrefix="1" applyFont="1" applyBorder="1" applyAlignment="1">
      <alignment horizontal="center" vertical="center"/>
    </xf>
    <xf numFmtId="0" fontId="29" fillId="0" borderId="42" xfId="0" quotePrefix="1" applyFont="1" applyBorder="1" applyAlignment="1">
      <alignment horizontal="center" vertical="center"/>
    </xf>
    <xf numFmtId="0" fontId="29" fillId="0" borderId="37" xfId="0" quotePrefix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16" borderId="36" xfId="0" applyFont="1" applyFill="1" applyBorder="1" applyAlignment="1">
      <alignment horizontal="center" vertical="center"/>
    </xf>
    <xf numFmtId="168" fontId="29" fillId="0" borderId="36" xfId="0" applyNumberFormat="1" applyFont="1" applyBorder="1" applyAlignment="1">
      <alignment horizontal="center" vertical="center"/>
    </xf>
    <xf numFmtId="2" fontId="29" fillId="0" borderId="36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8" fontId="29" fillId="0" borderId="42" xfId="0" applyNumberFormat="1" applyFont="1" applyBorder="1" applyAlignment="1">
      <alignment horizontal="center" vertical="center"/>
    </xf>
    <xf numFmtId="2" fontId="29" fillId="0" borderId="42" xfId="0" applyNumberFormat="1" applyFont="1" applyBorder="1" applyAlignment="1">
      <alignment horizontal="center" vertical="center"/>
    </xf>
    <xf numFmtId="166" fontId="29" fillId="0" borderId="42" xfId="0" applyNumberFormat="1" applyFont="1" applyBorder="1" applyAlignment="1">
      <alignment horizontal="center" vertical="center"/>
    </xf>
    <xf numFmtId="0" fontId="29" fillId="18" borderId="51" xfId="0" applyFont="1" applyFill="1" applyBorder="1" applyAlignment="1">
      <alignment horizontal="center" vertical="center"/>
    </xf>
    <xf numFmtId="0" fontId="29" fillId="16" borderId="37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63" xfId="0" applyFont="1" applyBorder="1" applyAlignment="1">
      <alignment horizontal="center" vertical="center"/>
    </xf>
    <xf numFmtId="0" fontId="29" fillId="18" borderId="69" xfId="0" applyFont="1" applyFill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18" borderId="52" xfId="0" applyFont="1" applyFill="1" applyBorder="1" applyAlignment="1">
      <alignment horizontal="center" vertical="center"/>
    </xf>
    <xf numFmtId="1" fontId="29" fillId="16" borderId="42" xfId="0" applyNumberFormat="1" applyFont="1" applyFill="1" applyBorder="1" applyAlignment="1">
      <alignment horizontal="center" vertical="center"/>
    </xf>
    <xf numFmtId="1" fontId="29" fillId="4" borderId="42" xfId="0" applyNumberFormat="1" applyFont="1" applyFill="1" applyBorder="1" applyAlignment="1">
      <alignment horizontal="center" vertical="center"/>
    </xf>
    <xf numFmtId="0" fontId="29" fillId="18" borderId="50" xfId="0" applyFont="1" applyFill="1" applyBorder="1" applyAlignment="1">
      <alignment horizontal="center" vertical="center"/>
    </xf>
    <xf numFmtId="0" fontId="29" fillId="18" borderId="54" xfId="0" applyFont="1" applyFill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29" fillId="18" borderId="59" xfId="0" applyFont="1" applyFill="1" applyBorder="1" applyAlignment="1">
      <alignment horizontal="center" vertical="center"/>
    </xf>
    <xf numFmtId="166" fontId="29" fillId="0" borderId="37" xfId="0" applyNumberFormat="1" applyFont="1" applyBorder="1" applyAlignment="1">
      <alignment horizontal="center" vertical="center"/>
    </xf>
    <xf numFmtId="166" fontId="29" fillId="4" borderId="42" xfId="0" applyNumberFormat="1" applyFont="1" applyFill="1" applyBorder="1" applyAlignment="1">
      <alignment horizontal="center" vertical="center"/>
    </xf>
    <xf numFmtId="166" fontId="29" fillId="16" borderId="42" xfId="0" applyNumberFormat="1" applyFont="1" applyFill="1" applyBorder="1" applyAlignment="1">
      <alignment horizontal="center" vertical="center"/>
    </xf>
    <xf numFmtId="166" fontId="29" fillId="0" borderId="21" xfId="0" applyNumberFormat="1" applyFont="1" applyBorder="1" applyAlignment="1">
      <alignment horizontal="center" vertical="center"/>
    </xf>
    <xf numFmtId="166" fontId="29" fillId="4" borderId="21" xfId="0" applyNumberFormat="1" applyFont="1" applyFill="1" applyBorder="1" applyAlignment="1">
      <alignment horizontal="center" vertical="center"/>
    </xf>
    <xf numFmtId="166" fontId="29" fillId="0" borderId="47" xfId="0" applyNumberFormat="1" applyFont="1" applyBorder="1" applyAlignment="1">
      <alignment horizontal="center" vertical="center"/>
    </xf>
    <xf numFmtId="0" fontId="29" fillId="18" borderId="72" xfId="0" applyFont="1" applyFill="1" applyBorder="1" applyAlignment="1">
      <alignment horizontal="center" vertical="center"/>
    </xf>
    <xf numFmtId="0" fontId="29" fillId="18" borderId="63" xfId="0" applyFont="1" applyFill="1" applyBorder="1" applyAlignment="1">
      <alignment horizontal="center" vertical="center"/>
    </xf>
    <xf numFmtId="166" fontId="29" fillId="0" borderId="53" xfId="0" applyNumberFormat="1" applyFont="1" applyBorder="1" applyAlignment="1">
      <alignment horizontal="center" vertical="center"/>
    </xf>
    <xf numFmtId="166" fontId="29" fillId="0" borderId="66" xfId="0" applyNumberFormat="1" applyFont="1" applyBorder="1" applyAlignment="1">
      <alignment horizontal="center" vertical="center"/>
    </xf>
    <xf numFmtId="166" fontId="29" fillId="0" borderId="73" xfId="0" applyNumberFormat="1" applyFont="1" applyBorder="1" applyAlignment="1">
      <alignment horizontal="center" vertical="center"/>
    </xf>
    <xf numFmtId="166" fontId="29" fillId="16" borderId="37" xfId="0" applyNumberFormat="1" applyFont="1" applyFill="1" applyBorder="1" applyAlignment="1">
      <alignment horizontal="center" vertical="center"/>
    </xf>
    <xf numFmtId="0" fontId="29" fillId="18" borderId="62" xfId="0" applyFont="1" applyFill="1" applyBorder="1" applyAlignment="1">
      <alignment horizontal="center" vertical="center"/>
    </xf>
    <xf numFmtId="166" fontId="29" fillId="0" borderId="72" xfId="0" applyNumberFormat="1" applyFont="1" applyBorder="1" applyAlignment="1">
      <alignment horizontal="center" vertical="center"/>
    </xf>
    <xf numFmtId="166" fontId="29" fillId="0" borderId="63" xfId="0" applyNumberFormat="1" applyFont="1" applyBorder="1" applyAlignment="1">
      <alignment horizontal="center" vertical="center"/>
    </xf>
    <xf numFmtId="0" fontId="29" fillId="18" borderId="65" xfId="0" applyFont="1" applyFill="1" applyBorder="1" applyAlignment="1">
      <alignment horizontal="center" vertical="center"/>
    </xf>
    <xf numFmtId="0" fontId="29" fillId="18" borderId="70" xfId="0" applyFont="1" applyFill="1" applyBorder="1" applyAlignment="1">
      <alignment horizontal="center" vertical="center"/>
    </xf>
    <xf numFmtId="166" fontId="29" fillId="0" borderId="67" xfId="0" applyNumberFormat="1" applyFont="1" applyBorder="1" applyAlignment="1">
      <alignment horizontal="center" vertical="center"/>
    </xf>
    <xf numFmtId="166" fontId="29" fillId="0" borderId="57" xfId="0" applyNumberFormat="1" applyFont="1" applyBorder="1" applyAlignment="1">
      <alignment horizontal="center" vertical="center"/>
    </xf>
    <xf numFmtId="0" fontId="29" fillId="18" borderId="74" xfId="0" applyFont="1" applyFill="1" applyBorder="1" applyAlignment="1">
      <alignment horizontal="center" vertical="center"/>
    </xf>
    <xf numFmtId="0" fontId="29" fillId="18" borderId="75" xfId="0" applyFont="1" applyFill="1" applyBorder="1" applyAlignment="1">
      <alignment horizontal="center" vertical="center"/>
    </xf>
    <xf numFmtId="2" fontId="29" fillId="0" borderId="37" xfId="0" applyNumberFormat="1" applyFont="1" applyBorder="1" applyAlignment="1">
      <alignment horizontal="center" vertical="center"/>
    </xf>
    <xf numFmtId="2" fontId="29" fillId="16" borderId="42" xfId="0" applyNumberFormat="1" applyFont="1" applyFill="1" applyBorder="1" applyAlignment="1">
      <alignment horizontal="center" vertical="center"/>
    </xf>
    <xf numFmtId="2" fontId="29" fillId="4" borderId="42" xfId="0" applyNumberFormat="1" applyFont="1" applyFill="1" applyBorder="1" applyAlignment="1">
      <alignment horizontal="center" vertical="center"/>
    </xf>
    <xf numFmtId="168" fontId="29" fillId="4" borderId="42" xfId="0" applyNumberFormat="1" applyFont="1" applyFill="1" applyBorder="1" applyAlignment="1">
      <alignment horizontal="center" vertical="center"/>
    </xf>
    <xf numFmtId="2" fontId="29" fillId="0" borderId="36" xfId="0" quotePrefix="1" applyNumberFormat="1" applyFont="1" applyBorder="1" applyAlignment="1">
      <alignment horizontal="center" vertical="center"/>
    </xf>
    <xf numFmtId="2" fontId="29" fillId="0" borderId="42" xfId="0" quotePrefix="1" applyNumberFormat="1" applyFont="1" applyBorder="1" applyAlignment="1">
      <alignment horizontal="center" vertical="center"/>
    </xf>
    <xf numFmtId="2" fontId="29" fillId="0" borderId="37" xfId="0" quotePrefix="1" applyNumberFormat="1" applyFont="1" applyBorder="1" applyAlignment="1">
      <alignment horizontal="center" vertical="center"/>
    </xf>
    <xf numFmtId="166" fontId="29" fillId="4" borderId="36" xfId="0" applyNumberFormat="1" applyFont="1" applyFill="1" applyBorder="1" applyAlignment="1">
      <alignment horizontal="center" vertical="center"/>
    </xf>
    <xf numFmtId="166" fontId="29" fillId="0" borderId="36" xfId="0" quotePrefix="1" applyNumberFormat="1" applyFont="1" applyBorder="1" applyAlignment="1">
      <alignment horizontal="center" vertical="center"/>
    </xf>
    <xf numFmtId="166" fontId="29" fillId="0" borderId="42" xfId="0" quotePrefix="1" applyNumberFormat="1" applyFont="1" applyBorder="1" applyAlignment="1">
      <alignment horizontal="center" vertical="center"/>
    </xf>
    <xf numFmtId="166" fontId="29" fillId="0" borderId="37" xfId="0" quotePrefix="1" applyNumberFormat="1" applyFont="1" applyBorder="1" applyAlignment="1">
      <alignment horizontal="center" vertical="center"/>
    </xf>
    <xf numFmtId="166" fontId="29" fillId="16" borderId="36" xfId="0" applyNumberFormat="1" applyFont="1" applyFill="1" applyBorder="1" applyAlignment="1">
      <alignment horizontal="center" vertical="center"/>
    </xf>
    <xf numFmtId="168" fontId="29" fillId="0" borderId="37" xfId="0" applyNumberFormat="1" applyFont="1" applyBorder="1" applyAlignment="1">
      <alignment horizontal="center" vertical="center"/>
    </xf>
    <xf numFmtId="168" fontId="29" fillId="16" borderId="37" xfId="0" applyNumberFormat="1" applyFont="1" applyFill="1" applyBorder="1" applyAlignment="1">
      <alignment horizontal="center" vertical="center"/>
    </xf>
    <xf numFmtId="168" fontId="29" fillId="16" borderId="42" xfId="0" applyNumberFormat="1" applyFont="1" applyFill="1" applyBorder="1" applyAlignment="1">
      <alignment horizontal="center" vertical="center"/>
    </xf>
    <xf numFmtId="166" fontId="32" fillId="16" borderId="21" xfId="0" applyNumberFormat="1" applyFont="1" applyFill="1" applyBorder="1" applyAlignment="1">
      <alignment horizontal="center" vertical="center"/>
    </xf>
    <xf numFmtId="0" fontId="36" fillId="18" borderId="36" xfId="0" applyFont="1" applyFill="1" applyBorder="1" applyAlignment="1">
      <alignment horizontal="center" vertical="center"/>
    </xf>
    <xf numFmtId="166" fontId="29" fillId="4" borderId="37" xfId="0" applyNumberFormat="1" applyFont="1" applyFill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6" fontId="32" fillId="16" borderId="42" xfId="0" applyNumberFormat="1" applyFont="1" applyFill="1" applyBorder="1" applyAlignment="1">
      <alignment horizontal="center" vertical="center"/>
    </xf>
    <xf numFmtId="166" fontId="29" fillId="0" borderId="46" xfId="0" applyNumberFormat="1" applyFont="1" applyBorder="1" applyAlignment="1">
      <alignment horizontal="center" vertical="center"/>
    </xf>
    <xf numFmtId="166" fontId="29" fillId="0" borderId="39" xfId="0" applyNumberFormat="1" applyFont="1" applyBorder="1" applyAlignment="1">
      <alignment horizontal="center" vertical="center"/>
    </xf>
    <xf numFmtId="166" fontId="29" fillId="0" borderId="44" xfId="0" applyNumberFormat="1" applyFont="1" applyBorder="1" applyAlignment="1">
      <alignment horizontal="center" vertical="center"/>
    </xf>
    <xf numFmtId="166" fontId="29" fillId="0" borderId="4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29" fillId="16" borderId="36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166" fontId="37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  <xf numFmtId="169" fontId="0" fillId="0" borderId="0" xfId="0" applyNumberFormat="1"/>
    <xf numFmtId="1" fontId="4" fillId="2" borderId="1" xfId="0" applyNumberFormat="1" applyFont="1" applyFill="1" applyBorder="1" applyAlignment="1">
      <alignment vertical="center" wrapText="1"/>
    </xf>
    <xf numFmtId="167" fontId="0" fillId="0" borderId="0" xfId="0" applyNumberFormat="1"/>
    <xf numFmtId="165" fontId="4" fillId="2" borderId="1" xfId="1" applyNumberFormat="1" applyFont="1" applyFill="1" applyBorder="1" applyAlignment="1">
      <alignment horizontal="left" vertical="center" wrapText="1"/>
    </xf>
    <xf numFmtId="165" fontId="37" fillId="2" borderId="1" xfId="1" applyNumberFormat="1" applyFont="1" applyFill="1" applyBorder="1" applyAlignment="1">
      <alignment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165" fontId="5" fillId="20" borderId="1" xfId="1" applyNumberFormat="1" applyFont="1" applyFill="1" applyBorder="1" applyAlignment="1">
      <alignment horizontal="center" vertical="center" wrapText="1"/>
    </xf>
    <xf numFmtId="165" fontId="33" fillId="20" borderId="1" xfId="1" applyNumberFormat="1" applyFont="1" applyFill="1" applyBorder="1" applyAlignment="1">
      <alignment horizontal="center" vertical="center" wrapText="1"/>
    </xf>
    <xf numFmtId="166" fontId="5" fillId="20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166" fontId="37" fillId="20" borderId="1" xfId="0" applyNumberFormat="1" applyFont="1" applyFill="1" applyBorder="1" applyAlignment="1">
      <alignment horizontal="center" vertical="center" wrapText="1"/>
    </xf>
    <xf numFmtId="0" fontId="37" fillId="20" borderId="1" xfId="0" applyFont="1" applyFill="1" applyBorder="1" applyAlignment="1">
      <alignment horizontal="center" vertical="center" wrapText="1"/>
    </xf>
    <xf numFmtId="166" fontId="4" fillId="20" borderId="1" xfId="0" applyNumberFormat="1" applyFont="1" applyFill="1" applyBorder="1" applyAlignment="1">
      <alignment horizontal="center" vertical="center" wrapText="1"/>
    </xf>
    <xf numFmtId="2" fontId="5" fillId="20" borderId="1" xfId="0" applyNumberFormat="1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1" fontId="4" fillId="20" borderId="1" xfId="0" applyNumberFormat="1" applyFont="1" applyFill="1" applyBorder="1" applyAlignment="1">
      <alignment horizontal="center" vertical="center" wrapText="1"/>
    </xf>
    <xf numFmtId="1" fontId="37" fillId="20" borderId="1" xfId="0" applyNumberFormat="1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horizontal="center" vertical="center" wrapText="1"/>
    </xf>
    <xf numFmtId="0" fontId="33" fillId="20" borderId="1" xfId="0" quotePrefix="1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4" fillId="20" borderId="1" xfId="0" quotePrefix="1" applyFont="1" applyFill="1" applyBorder="1" applyAlignment="1">
      <alignment horizontal="center" vertical="center" wrapText="1"/>
    </xf>
    <xf numFmtId="0" fontId="4" fillId="20" borderId="1" xfId="0" quotePrefix="1" applyFont="1" applyFill="1" applyBorder="1" applyAlignment="1">
      <alignment horizontal="center" vertical="center" wrapText="1"/>
    </xf>
    <xf numFmtId="167" fontId="5" fillId="20" borderId="1" xfId="1" applyNumberFormat="1" applyFont="1" applyFill="1" applyBorder="1" applyAlignment="1">
      <alignment horizontal="center" vertical="center" wrapText="1"/>
    </xf>
    <xf numFmtId="1" fontId="5" fillId="20" borderId="1" xfId="0" applyNumberFormat="1" applyFont="1" applyFill="1" applyBorder="1" applyAlignment="1">
      <alignment horizontal="center" vertical="center" wrapText="1"/>
    </xf>
    <xf numFmtId="165" fontId="5" fillId="20" borderId="1" xfId="1" applyNumberFormat="1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166" fontId="5" fillId="20" borderId="1" xfId="0" applyNumberFormat="1" applyFont="1" applyFill="1" applyBorder="1" applyAlignment="1">
      <alignment vertical="center" wrapText="1"/>
    </xf>
    <xf numFmtId="2" fontId="5" fillId="20" borderId="1" xfId="0" applyNumberFormat="1" applyFont="1" applyFill="1" applyBorder="1" applyAlignment="1">
      <alignment vertical="center" wrapText="1"/>
    </xf>
    <xf numFmtId="165" fontId="4" fillId="20" borderId="1" xfId="1" applyNumberFormat="1" applyFont="1" applyFill="1" applyBorder="1" applyAlignment="1">
      <alignment horizontal="center" vertical="center" wrapText="1"/>
    </xf>
    <xf numFmtId="165" fontId="4" fillId="20" borderId="1" xfId="1" applyNumberFormat="1" applyFont="1" applyFill="1" applyBorder="1" applyAlignment="1">
      <alignment vertical="center" wrapText="1"/>
    </xf>
    <xf numFmtId="0" fontId="24" fillId="20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19" borderId="13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/>
    </xf>
    <xf numFmtId="0" fontId="29" fillId="9" borderId="13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4" xfId="0" applyFont="1" applyFill="1" applyBorder="1" applyAlignment="1">
      <alignment horizontal="center"/>
    </xf>
    <xf numFmtId="0" fontId="29" fillId="9" borderId="11" xfId="0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30" fillId="9" borderId="12" xfId="0" applyFont="1" applyFill="1" applyBorder="1" applyAlignment="1">
      <alignment horizontal="center" vertical="center" wrapText="1"/>
    </xf>
    <xf numFmtId="0" fontId="30" fillId="9" borderId="3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/>
    </xf>
    <xf numFmtId="0" fontId="29" fillId="11" borderId="1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2" fillId="13" borderId="2" xfId="0" applyFont="1" applyFill="1" applyBorder="1" applyAlignment="1">
      <alignment horizontal="center"/>
    </xf>
    <xf numFmtId="0" fontId="32" fillId="13" borderId="3" xfId="0" applyFont="1" applyFill="1" applyBorder="1" applyAlignment="1">
      <alignment horizontal="center"/>
    </xf>
    <xf numFmtId="0" fontId="32" fillId="13" borderId="4" xfId="0" applyFont="1" applyFill="1" applyBorder="1" applyAlignment="1">
      <alignment horizontal="center"/>
    </xf>
    <xf numFmtId="0" fontId="32" fillId="13" borderId="11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29" fillId="18" borderId="36" xfId="0" applyFont="1" applyFill="1" applyBorder="1" applyAlignment="1">
      <alignment horizontal="center" vertical="center"/>
    </xf>
    <xf numFmtId="0" fontId="29" fillId="18" borderId="37" xfId="0" applyFont="1" applyFill="1" applyBorder="1" applyAlignment="1">
      <alignment horizontal="center" vertical="center"/>
    </xf>
    <xf numFmtId="0" fontId="35" fillId="18" borderId="32" xfId="0" applyFont="1" applyFill="1" applyBorder="1" applyAlignment="1">
      <alignment horizontal="center" vertical="center"/>
    </xf>
    <xf numFmtId="0" fontId="35" fillId="18" borderId="33" xfId="0" applyFont="1" applyFill="1" applyBorder="1" applyAlignment="1">
      <alignment horizontal="center" vertical="center"/>
    </xf>
    <xf numFmtId="0" fontId="35" fillId="18" borderId="34" xfId="0" applyFont="1" applyFill="1" applyBorder="1" applyAlignment="1">
      <alignment horizontal="center" vertical="center"/>
    </xf>
    <xf numFmtId="0" fontId="35" fillId="18" borderId="68" xfId="0" applyFont="1" applyFill="1" applyBorder="1" applyAlignment="1">
      <alignment horizontal="center" vertical="center"/>
    </xf>
    <xf numFmtId="0" fontId="35" fillId="18" borderId="60" xfId="0" applyFont="1" applyFill="1" applyBorder="1" applyAlignment="1">
      <alignment horizontal="center" vertical="center"/>
    </xf>
    <xf numFmtId="0" fontId="35" fillId="18" borderId="61" xfId="0" applyFont="1" applyFill="1" applyBorder="1" applyAlignment="1">
      <alignment horizontal="center" vertical="center"/>
    </xf>
    <xf numFmtId="0" fontId="29" fillId="18" borderId="59" xfId="0" applyFont="1" applyFill="1" applyBorder="1" applyAlignment="1">
      <alignment horizontal="center" vertical="center"/>
    </xf>
    <xf numFmtId="0" fontId="29" fillId="18" borderId="56" xfId="0" applyFont="1" applyFill="1" applyBorder="1" applyAlignment="1">
      <alignment horizontal="center" vertical="center"/>
    </xf>
    <xf numFmtId="0" fontId="29" fillId="18" borderId="38" xfId="0" applyFont="1" applyFill="1" applyBorder="1" applyAlignment="1">
      <alignment horizontal="center" vertical="center"/>
    </xf>
    <xf numFmtId="0" fontId="29" fillId="18" borderId="48" xfId="0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18" borderId="64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2" fillId="18" borderId="32" xfId="0" applyFont="1" applyFill="1" applyBorder="1" applyAlignment="1">
      <alignment horizontal="center" vertical="center"/>
    </xf>
    <xf numFmtId="0" fontId="32" fillId="18" borderId="33" xfId="0" applyFont="1" applyFill="1" applyBorder="1" applyAlignment="1">
      <alignment horizontal="center" vertical="center"/>
    </xf>
    <xf numFmtId="0" fontId="32" fillId="18" borderId="34" xfId="0" applyFont="1" applyFill="1" applyBorder="1" applyAlignment="1">
      <alignment horizontal="center" vertical="center"/>
    </xf>
    <xf numFmtId="0" fontId="29" fillId="18" borderId="40" xfId="0" applyFont="1" applyFill="1" applyBorder="1" applyAlignment="1">
      <alignment horizontal="center" vertical="center"/>
    </xf>
    <xf numFmtId="0" fontId="29" fillId="18" borderId="46" xfId="0" applyFont="1" applyFill="1" applyBorder="1" applyAlignment="1">
      <alignment horizontal="center" vertical="center"/>
    </xf>
    <xf numFmtId="0" fontId="29" fillId="18" borderId="47" xfId="0" applyFont="1" applyFill="1" applyBorder="1" applyAlignment="1">
      <alignment horizontal="center" vertical="center"/>
    </xf>
    <xf numFmtId="0" fontId="29" fillId="18" borderId="39" xfId="0" applyFont="1" applyFill="1" applyBorder="1" applyAlignment="1">
      <alignment horizontal="center" vertical="center"/>
    </xf>
    <xf numFmtId="0" fontId="29" fillId="18" borderId="57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2" fillId="18" borderId="60" xfId="0" applyFont="1" applyFill="1" applyBorder="1" applyAlignment="1">
      <alignment horizontal="center" vertical="center"/>
    </xf>
    <xf numFmtId="0" fontId="29" fillId="18" borderId="41" xfId="0" applyFont="1" applyFill="1" applyBorder="1" applyAlignment="1">
      <alignment horizontal="center" vertical="center"/>
    </xf>
    <xf numFmtId="0" fontId="32" fillId="18" borderId="68" xfId="0" applyFont="1" applyFill="1" applyBorder="1" applyAlignment="1">
      <alignment horizontal="center" vertical="center"/>
    </xf>
    <xf numFmtId="0" fontId="32" fillId="18" borderId="61" xfId="0" applyFont="1" applyFill="1" applyBorder="1" applyAlignment="1">
      <alignment horizontal="center" vertical="center"/>
    </xf>
    <xf numFmtId="0" fontId="29" fillId="18" borderId="42" xfId="0" applyFont="1" applyFill="1" applyBorder="1" applyAlignment="1">
      <alignment horizontal="center" vertical="center"/>
    </xf>
    <xf numFmtId="0" fontId="29" fillId="18" borderId="7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2" fillId="17" borderId="21" xfId="0" applyFont="1" applyFill="1" applyBorder="1" applyAlignment="1">
      <alignment horizontal="center" vertical="center"/>
    </xf>
    <xf numFmtId="0" fontId="29" fillId="17" borderId="23" xfId="0" applyFont="1" applyFill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0" fontId="29" fillId="17" borderId="21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9933"/>
      <color rgb="FF00FF00"/>
      <color rgb="FF99FFCC"/>
      <color rgb="FFFF6699"/>
      <color rgb="FFF6D7F9"/>
      <color rgb="FFE1FFF0"/>
      <color rgb="FFD2F8FE"/>
      <color rgb="FFDE56A7"/>
      <color rgb="FFD1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'MARZO 2022'!$K$40</c:f>
              <c:strCache>
                <c:ptCount val="1"/>
                <c:pt idx="0">
                  <c:v>Dureza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'MARZO 2022'!$O$40:$U$40</c:f>
              <c:numCache>
                <c:formatCode>General</c:formatCode>
                <c:ptCount val="7"/>
                <c:pt idx="0">
                  <c:v>345</c:v>
                </c:pt>
                <c:pt idx="1">
                  <c:v>370</c:v>
                </c:pt>
                <c:pt idx="2">
                  <c:v>390</c:v>
                </c:pt>
                <c:pt idx="3">
                  <c:v>410</c:v>
                </c:pt>
                <c:pt idx="4">
                  <c:v>370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E-4E88-8B91-CC0D007F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98640"/>
        <c:axId val="421699032"/>
      </c:lineChart>
      <c:catAx>
        <c:axId val="42169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699032"/>
        <c:crosses val="autoZero"/>
        <c:auto val="1"/>
        <c:lblAlgn val="ctr"/>
        <c:lblOffset val="100"/>
        <c:noMultiLvlLbl val="0"/>
      </c:catAx>
      <c:valAx>
        <c:axId val="421699032"/>
        <c:scaling>
          <c:orientation val="minMax"/>
          <c:max val="42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698640"/>
        <c:crosses val="autoZero"/>
        <c:crossBetween val="between"/>
        <c:majorUnit val="2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'MARZO 2022'!$K$43</c:f>
              <c:strCache>
                <c:ptCount val="1"/>
                <c:pt idx="0">
                  <c:v>Zinc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5.1352595004322564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2C-40CD-86FF-269A8A15F8F7}"/>
                </c:ext>
              </c:extLst>
            </c:dLbl>
            <c:dLbl>
              <c:idx val="3"/>
              <c:layout>
                <c:manualLayout>
                  <c:x val="-3.8514446253241977E-2"/>
                  <c:y val="-5.5555555555555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2C-40CD-86FF-269A8A15F8F7}"/>
                </c:ext>
              </c:extLst>
            </c:dLbl>
            <c:dLbl>
              <c:idx val="5"/>
              <c:layout>
                <c:manualLayout>
                  <c:x val="-5.1352595004322522E-2"/>
                  <c:y val="-4.6296296296296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2C-40CD-86FF-269A8A15F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'MARZO 2022'!$O$43:$U$43</c:f>
              <c:numCache>
                <c:formatCode>General</c:formatCode>
                <c:ptCount val="7"/>
                <c:pt idx="0">
                  <c:v>0.13</c:v>
                </c:pt>
                <c:pt idx="1">
                  <c:v>0.37</c:v>
                </c:pt>
                <c:pt idx="2">
                  <c:v>0.12</c:v>
                </c:pt>
                <c:pt idx="3">
                  <c:v>0.1</c:v>
                </c:pt>
                <c:pt idx="4">
                  <c:v>0.13</c:v>
                </c:pt>
                <c:pt idx="5">
                  <c:v>0.26</c:v>
                </c:pt>
                <c:pt idx="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C-40CD-86FF-269A8A15F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99816"/>
        <c:axId val="421700208"/>
      </c:lineChart>
      <c:catAx>
        <c:axId val="42169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0208"/>
        <c:crosses val="autoZero"/>
        <c:auto val="1"/>
        <c:lblAlgn val="ctr"/>
        <c:lblOffset val="100"/>
        <c:noMultiLvlLbl val="0"/>
      </c:catAx>
      <c:valAx>
        <c:axId val="421700208"/>
        <c:scaling>
          <c:orientation val="minMax"/>
          <c:max val="0.4"/>
          <c:min val="5.000000000000001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699816"/>
        <c:crosses val="autoZero"/>
        <c:crossBetween val="between"/>
        <c:majorUnit val="5.0000000000000017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'MARZO 2022'!$K$32</c:f>
              <c:strCache>
                <c:ptCount val="1"/>
                <c:pt idx="0">
                  <c:v>Turbidez - MARZO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3108667751945155E-2"/>
                  <c:y val="-3.2407407407407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D1-4B11-A9B8-66DE3BB85967}"/>
                </c:ext>
              </c:extLst>
            </c:dLbl>
            <c:dLbl>
              <c:idx val="1"/>
              <c:layout>
                <c:manualLayout>
                  <c:x val="-2.824392725237743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D1-4B11-A9B8-66DE3BB85967}"/>
                </c:ext>
              </c:extLst>
            </c:dLbl>
            <c:dLbl>
              <c:idx val="2"/>
              <c:layout>
                <c:manualLayout>
                  <c:x val="-4.1082076003458062E-2"/>
                  <c:y val="-4.629629629629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D1-4B11-A9B8-66DE3BB85967}"/>
                </c:ext>
              </c:extLst>
            </c:dLbl>
            <c:dLbl>
              <c:idx val="3"/>
              <c:layout>
                <c:manualLayout>
                  <c:x val="-3.5946816503025864E-2"/>
                  <c:y val="-3.2407407407407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D1-4B11-A9B8-66DE3BB85967}"/>
                </c:ext>
              </c:extLst>
            </c:dLbl>
            <c:dLbl>
              <c:idx val="4"/>
              <c:layout>
                <c:manualLayout>
                  <c:x val="-5.9055484254970904E-2"/>
                  <c:y val="-3.2407407407407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D1-4B11-A9B8-66DE3BB85967}"/>
                </c:ext>
              </c:extLst>
            </c:dLbl>
            <c:dLbl>
              <c:idx val="5"/>
              <c:layout>
                <c:manualLayout>
                  <c:x val="-7.9596522256699997E-2"/>
                  <c:y val="-2.121889068003334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D1-4B11-A9B8-66DE3BB85967}"/>
                </c:ext>
              </c:extLst>
            </c:dLbl>
            <c:dLbl>
              <c:idx val="6"/>
              <c:layout>
                <c:manualLayout>
                  <c:x val="-2.8243927252377385E-2"/>
                  <c:y val="4.629629629629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D1-4B11-A9B8-66DE3BB859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'MARZO 2022'!$O$32:$U$32</c:f>
              <c:numCache>
                <c:formatCode>General</c:formatCode>
                <c:ptCount val="7"/>
                <c:pt idx="0">
                  <c:v>61.9</c:v>
                </c:pt>
                <c:pt idx="1">
                  <c:v>19.8</c:v>
                </c:pt>
                <c:pt idx="2">
                  <c:v>31.6</c:v>
                </c:pt>
                <c:pt idx="3">
                  <c:v>33.1</c:v>
                </c:pt>
                <c:pt idx="4">
                  <c:v>57.2</c:v>
                </c:pt>
                <c:pt idx="5">
                  <c:v>405</c:v>
                </c:pt>
                <c:pt idx="6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D1-4B11-A9B8-66DE3BB8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700992"/>
        <c:axId val="421701384"/>
      </c:lineChart>
      <c:catAx>
        <c:axId val="4217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1384"/>
        <c:crosses val="autoZero"/>
        <c:auto val="1"/>
        <c:lblAlgn val="ctr"/>
        <c:lblOffset val="100"/>
        <c:noMultiLvlLbl val="0"/>
      </c:catAx>
      <c:valAx>
        <c:axId val="42170138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Cloruros (Cl-)  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 2022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MARZO'!$B$39</c:f>
              <c:strCache>
                <c:ptCount val="1"/>
                <c:pt idx="0">
                  <c:v>Cloruros (Cl-) - MARZO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MARZO'!$F$39:$L$39</c:f>
              <c:numCache>
                <c:formatCode>General</c:formatCode>
                <c:ptCount val="7"/>
                <c:pt idx="0">
                  <c:v>5.9</c:v>
                </c:pt>
                <c:pt idx="1">
                  <c:v>6.9</c:v>
                </c:pt>
                <c:pt idx="2">
                  <c:v>3.3</c:v>
                </c:pt>
                <c:pt idx="3">
                  <c:v>5.6</c:v>
                </c:pt>
                <c:pt idx="4">
                  <c:v>7.9</c:v>
                </c:pt>
                <c:pt idx="5">
                  <c:v>4.3</c:v>
                </c:pt>
                <c:pt idx="6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3-4E1C-9125-72E556D0687C}"/>
            </c:ext>
          </c:extLst>
        </c:ser>
        <c:ser>
          <c:idx val="2"/>
          <c:order val="1"/>
          <c:tx>
            <c:strRef>
              <c:f>'ABRIL VS MARZO'!$B$41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43-4E1C-9125-72E556D068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MARZO'!$F$41:$L$41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43-4E1C-9125-72E556D0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2168"/>
        <c:axId val="421702560"/>
      </c:lineChart>
      <c:catAx>
        <c:axId val="42170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2560"/>
        <c:crosses val="autoZero"/>
        <c:auto val="1"/>
        <c:lblAlgn val="ctr"/>
        <c:lblOffset val="100"/>
        <c:noMultiLvlLbl val="0"/>
      </c:catAx>
      <c:valAx>
        <c:axId val="421702560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216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MARZO'!$B$44</c:f>
              <c:strCache>
                <c:ptCount val="1"/>
                <c:pt idx="0">
                  <c:v>Nitratos  (NO3-) - MARZO</c:v>
                </c:pt>
              </c:strCache>
            </c:strRef>
          </c:tx>
          <c:spPr>
            <a:ln w="28575" cap="rnd">
              <a:solidFill>
                <a:srgbClr val="DE56A7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1301247771836012E-3"/>
                  <c:y val="-4.47238458281537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05-4316-92D4-BEB20F1F4725}"/>
                </c:ext>
              </c:extLst>
            </c:dLbl>
            <c:dLbl>
              <c:idx val="1"/>
              <c:layout>
                <c:manualLayout>
                  <c:x val="-1.7825311942959037E-2"/>
                  <c:y val="-3.096266249641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F05-4316-92D4-BEB20F1F4725}"/>
                </c:ext>
              </c:extLst>
            </c:dLbl>
            <c:dLbl>
              <c:idx val="2"/>
              <c:layout>
                <c:manualLayout>
                  <c:x val="-1.06951871657754E-2"/>
                  <c:y val="-3.4402958329349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05-4316-92D4-BEB20F1F4725}"/>
                </c:ext>
              </c:extLst>
            </c:dLbl>
            <c:dLbl>
              <c:idx val="3"/>
              <c:layout>
                <c:manualLayout>
                  <c:x val="-5.3475935828877002E-3"/>
                  <c:y val="-3.784325416228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F05-4316-92D4-BEB20F1F4725}"/>
                </c:ext>
              </c:extLst>
            </c:dLbl>
            <c:dLbl>
              <c:idx val="4"/>
              <c:layout>
                <c:manualLayout>
                  <c:x val="-7.1301247771836671E-3"/>
                  <c:y val="-3.4402958329349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F05-4316-92D4-BEB20F1F4725}"/>
                </c:ext>
              </c:extLst>
            </c:dLbl>
            <c:dLbl>
              <c:idx val="5"/>
              <c:layout>
                <c:manualLayout>
                  <c:x val="-1.7825311942959002E-2"/>
                  <c:y val="-2.752236666347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F05-4316-92D4-BEB20F1F4725}"/>
                </c:ext>
              </c:extLst>
            </c:dLbl>
            <c:dLbl>
              <c:idx val="6"/>
              <c:layout>
                <c:manualLayout>
                  <c:x val="-1.2477718360071298E-2"/>
                  <c:y val="-2.7522366663479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F05-4316-92D4-BEB20F1F4725}"/>
                </c:ext>
              </c:extLst>
            </c:dLbl>
            <c:spPr>
              <a:solidFill>
                <a:srgbClr val="DE56A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MARZO'!$F$44:$L$44</c:f>
              <c:numCache>
                <c:formatCode>General</c:formatCode>
                <c:ptCount val="7"/>
                <c:pt idx="0">
                  <c:v>5.4</c:v>
                </c:pt>
                <c:pt idx="1">
                  <c:v>6.5</c:v>
                </c:pt>
                <c:pt idx="2">
                  <c:v>5.6</c:v>
                </c:pt>
                <c:pt idx="3">
                  <c:v>5.2</c:v>
                </c:pt>
                <c:pt idx="4">
                  <c:v>6.5</c:v>
                </c:pt>
                <c:pt idx="5">
                  <c:v>3.4</c:v>
                </c:pt>
                <c:pt idx="6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05-4316-92D4-BEB20F1F4725}"/>
            </c:ext>
          </c:extLst>
        </c:ser>
        <c:ser>
          <c:idx val="2"/>
          <c:order val="1"/>
          <c:tx>
            <c:strRef>
              <c:f>'ABRIL VS MARZO'!$B$46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F05-4316-92D4-BEB20F1F47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MARZO'!$F$46:$L$46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05-4316-92D4-BEB20F1F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3344"/>
        <c:axId val="421703736"/>
      </c:lineChart>
      <c:catAx>
        <c:axId val="4217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3736"/>
        <c:crosses val="autoZero"/>
        <c:auto val="1"/>
        <c:lblAlgn val="ctr"/>
        <c:lblOffset val="100"/>
        <c:noMultiLvlLbl val="0"/>
      </c:catAx>
      <c:valAx>
        <c:axId val="42170373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3344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Nitritos </a:t>
            </a:r>
            <a:r>
              <a:rPr lang="en-US" sz="1400" b="0" i="0" u="none" strike="noStrike" baseline="0">
                <a:effectLst/>
              </a:rPr>
              <a:t>NO</a:t>
            </a:r>
            <a:r>
              <a:rPr lang="en-US" sz="1400" b="0" i="0" u="none" strike="noStrike" baseline="-25000">
                <a:effectLst/>
              </a:rPr>
              <a:t>2</a:t>
            </a:r>
            <a:r>
              <a:rPr lang="en-US" sz="1400" b="0" i="0" u="none" strike="noStrike" baseline="0">
                <a:effectLst/>
              </a:rPr>
              <a:t>−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MARZO-2022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'MARZO 2022'!$K$41</c:f>
              <c:strCache>
                <c:ptCount val="1"/>
                <c:pt idx="0">
                  <c:v>Nitritos NO2− - MARZO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'MARZO 2022'!$O$41:$U$41</c:f>
              <c:numCache>
                <c:formatCode>General</c:formatCode>
                <c:ptCount val="7"/>
                <c:pt idx="0">
                  <c:v>11</c:v>
                </c:pt>
                <c:pt idx="1">
                  <c:v>13</c:v>
                </c:pt>
                <c:pt idx="2">
                  <c:v>9</c:v>
                </c:pt>
                <c:pt idx="3">
                  <c:v>14</c:v>
                </c:pt>
                <c:pt idx="4">
                  <c:v>20</c:v>
                </c:pt>
                <c:pt idx="5">
                  <c:v>14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E-4A2B-A0B9-2E3D4D92194F}"/>
            </c:ext>
          </c:extLst>
        </c:ser>
        <c:ser>
          <c:idx val="1"/>
          <c:order val="1"/>
          <c:tx>
            <c:strRef>
              <c:f>'MARZO 2022'!$K$42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2E-4A2B-A0B9-2E3D4D9219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'MARZO 2022'!$O$42:$U$42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E-4A2B-A0B9-2E3D4D921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4520"/>
        <c:axId val="421704912"/>
      </c:lineChart>
      <c:catAx>
        <c:axId val="4217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4912"/>
        <c:crosses val="autoZero"/>
        <c:auto val="1"/>
        <c:lblAlgn val="ctr"/>
        <c:lblOffset val="100"/>
        <c:noMultiLvlLbl val="0"/>
      </c:catAx>
      <c:valAx>
        <c:axId val="421704912"/>
        <c:scaling>
          <c:orientation val="minMax"/>
          <c:max val="35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452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Manganeso (Mn)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2022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MARZO'!$B$49</c:f>
              <c:strCache>
                <c:ptCount val="1"/>
                <c:pt idx="0">
                  <c:v>Manganeso (Mn) - MARZO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MARZO'!$F$49:$L$49</c:f>
              <c:numCache>
                <c:formatCode>General</c:formatCode>
                <c:ptCount val="7"/>
                <c:pt idx="0">
                  <c:v>3.2</c:v>
                </c:pt>
                <c:pt idx="1">
                  <c:v>3.3</c:v>
                </c:pt>
                <c:pt idx="2">
                  <c:v>2.5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C-44BF-9F2B-8418803A0E27}"/>
            </c:ext>
          </c:extLst>
        </c:ser>
        <c:ser>
          <c:idx val="2"/>
          <c:order val="1"/>
          <c:tx>
            <c:strRef>
              <c:f>'ABRIL VS MARZO'!$B$51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7C-44BF-9F2B-8418803A0E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MARZO'!$F$51:$L$51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7C-44BF-9F2B-8418803A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5696"/>
        <c:axId val="421706088"/>
      </c:lineChart>
      <c:catAx>
        <c:axId val="4217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6088"/>
        <c:crosses val="autoZero"/>
        <c:auto val="1"/>
        <c:lblAlgn val="ctr"/>
        <c:lblOffset val="100"/>
        <c:noMultiLvlLbl val="0"/>
      </c:catAx>
      <c:valAx>
        <c:axId val="421706088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5696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Hierro (Fe)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MARZO'!$B$54</c:f>
              <c:strCache>
                <c:ptCount val="1"/>
                <c:pt idx="0">
                  <c:v>Hierro (Fe) - MARZO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6737967914438505E-2"/>
                  <c:y val="-3.7357794027165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8-4585-82DD-9E4EF9C18EEE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MARZO'!$F$54:$L$54</c:f>
              <c:numCache>
                <c:formatCode>General</c:formatCode>
                <c:ptCount val="7"/>
                <c:pt idx="0">
                  <c:v>0.52200000000000002</c:v>
                </c:pt>
                <c:pt idx="1">
                  <c:v>0.72799999999999998</c:v>
                </c:pt>
                <c:pt idx="2">
                  <c:v>0.44900000000000001</c:v>
                </c:pt>
                <c:pt idx="3">
                  <c:v>0.45300000000000001</c:v>
                </c:pt>
                <c:pt idx="4">
                  <c:v>1.0189999999999999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08-4585-82DD-9E4EF9C18EEE}"/>
            </c:ext>
          </c:extLst>
        </c:ser>
        <c:ser>
          <c:idx val="2"/>
          <c:order val="1"/>
          <c:tx>
            <c:strRef>
              <c:f>'ABRIL VS MARZO'!$B$56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08-4585-82DD-9E4EF9C18E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MARZO'!$F$56:$L$56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08-4585-82DD-9E4EF9C1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6872"/>
        <c:axId val="421707264"/>
      </c:lineChart>
      <c:catAx>
        <c:axId val="42170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7264"/>
        <c:crosses val="autoZero"/>
        <c:auto val="1"/>
        <c:lblAlgn val="ctr"/>
        <c:lblOffset val="100"/>
        <c:noMultiLvlLbl val="0"/>
      </c:catAx>
      <c:valAx>
        <c:axId val="42170726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6872"/>
        <c:crosses val="autoZero"/>
        <c:crossBetween val="between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Sulfatos  (SO₄²-) - 2022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MARZO'!$B$34</c:f>
              <c:strCache>
                <c:ptCount val="1"/>
                <c:pt idx="0">
                  <c:v>Sulfatos  (SO₄²-) - MARZO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085561497326213E-2"/>
                  <c:y val="-2.5983667409057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CF-458B-B331-3A587DF36AF5}"/>
                </c:ext>
              </c:extLst>
            </c:dLbl>
            <c:dLbl>
              <c:idx val="1"/>
              <c:layout>
                <c:manualLayout>
                  <c:x val="-1.9607843137254933E-2"/>
                  <c:y val="-2.5983667409057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CF-458B-B331-3A587DF36AF5}"/>
                </c:ext>
              </c:extLst>
            </c:dLbl>
            <c:dLbl>
              <c:idx val="2"/>
              <c:layout>
                <c:manualLayout>
                  <c:x val="-2.6737967914438578E-2"/>
                  <c:y val="-3.3407572383073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CF-458B-B331-3A587DF36AF5}"/>
                </c:ext>
              </c:extLst>
            </c:dLbl>
            <c:dLbl>
              <c:idx val="3"/>
              <c:layout>
                <c:manualLayout>
                  <c:x val="-1.6042780748663107E-2"/>
                  <c:y val="-4.8255382331106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CF-458B-B331-3A587DF36AF5}"/>
                </c:ext>
              </c:extLst>
            </c:dLbl>
            <c:dLbl>
              <c:idx val="5"/>
              <c:layout>
                <c:manualLayout>
                  <c:x val="-2.852049910873453E-2"/>
                  <c:y val="-1.1135857461024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CF-458B-B331-3A587DF36AF5}"/>
                </c:ext>
              </c:extLst>
            </c:dLbl>
            <c:dLbl>
              <c:idx val="6"/>
              <c:layout>
                <c:manualLayout>
                  <c:x val="-2.1390374331550797E-2"/>
                  <c:y val="-2.2271714922049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CF-458B-B331-3A587DF36AF5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MARZO'!$F$34:$L$34</c:f>
              <c:numCache>
                <c:formatCode>General</c:formatCode>
                <c:ptCount val="7"/>
                <c:pt idx="0">
                  <c:v>140</c:v>
                </c:pt>
                <c:pt idx="1">
                  <c:v>132</c:v>
                </c:pt>
                <c:pt idx="2">
                  <c:v>138</c:v>
                </c:pt>
                <c:pt idx="3">
                  <c:v>136</c:v>
                </c:pt>
                <c:pt idx="4">
                  <c:v>134</c:v>
                </c:pt>
                <c:pt idx="5">
                  <c:v>65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CF-458B-B331-3A587DF36AF5}"/>
            </c:ext>
          </c:extLst>
        </c:ser>
        <c:ser>
          <c:idx val="2"/>
          <c:order val="1"/>
          <c:tx>
            <c:strRef>
              <c:f>'ABRIL VS MARZO'!$B$36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AA-41A4-BB08-7423909066E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MARZO'!$F$36:$L$36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CF-458B-B331-3A587DF3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8048"/>
        <c:axId val="421708440"/>
      </c:lineChart>
      <c:catAx>
        <c:axId val="4217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8440"/>
        <c:crosses val="autoZero"/>
        <c:auto val="1"/>
        <c:lblAlgn val="ctr"/>
        <c:lblOffset val="100"/>
        <c:noMultiLvlLbl val="0"/>
      </c:catAx>
      <c:valAx>
        <c:axId val="421708440"/>
        <c:scaling>
          <c:orientation val="minMax"/>
          <c:max val="10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804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Cobre (Cu) 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MARZO'!$B$59</c:f>
              <c:strCache>
                <c:ptCount val="1"/>
                <c:pt idx="0">
                  <c:v>Cobre (Cu) - MARZO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3.5650623885918005E-2"/>
                  <c:y val="1.4747287234577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70-48F9-AF6D-22E535BF63D6}"/>
                </c:ext>
              </c:extLst>
            </c:dLbl>
            <c:dLbl>
              <c:idx val="5"/>
              <c:layout>
                <c:manualLayout>
                  <c:x val="-1.4260249554367201E-2"/>
                  <c:y val="-2.212093085186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70-48F9-AF6D-22E535BF63D6}"/>
                </c:ext>
              </c:extLst>
            </c:dLbl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MARZO'!$F$59:$L$59</c:f>
              <c:numCache>
                <c:formatCode>General</c:formatCode>
                <c:ptCount val="7"/>
                <c:pt idx="0">
                  <c:v>0.84</c:v>
                </c:pt>
                <c:pt idx="1">
                  <c:v>1.58</c:v>
                </c:pt>
                <c:pt idx="2">
                  <c:v>1.08</c:v>
                </c:pt>
                <c:pt idx="3">
                  <c:v>1.1100000000000001</c:v>
                </c:pt>
                <c:pt idx="4">
                  <c:v>0.67</c:v>
                </c:pt>
                <c:pt idx="5">
                  <c:v>0.33</c:v>
                </c:pt>
                <c:pt idx="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70-48F9-AF6D-22E535BF63D6}"/>
            </c:ext>
          </c:extLst>
        </c:ser>
        <c:ser>
          <c:idx val="2"/>
          <c:order val="1"/>
          <c:tx>
            <c:strRef>
              <c:f>'ABRIL VS MARZO'!$B$61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70-48F9-AF6D-22E535BF63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MARZO'!$F$61:$L$61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70-48F9-AF6D-22E535BF63D6}"/>
            </c:ext>
          </c:extLst>
        </c:ser>
        <c:ser>
          <c:idx val="3"/>
          <c:order val="2"/>
          <c:tx>
            <c:strRef>
              <c:f>'ABRIL VS MARZO'!$B$62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70-48F9-AF6D-22E535BF63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MARZO'!$F$62:$L$62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70-48F9-AF6D-22E535BF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09224"/>
        <c:axId val="421709616"/>
      </c:lineChart>
      <c:catAx>
        <c:axId val="4217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9616"/>
        <c:crosses val="autoZero"/>
        <c:auto val="1"/>
        <c:lblAlgn val="ctr"/>
        <c:lblOffset val="100"/>
        <c:noMultiLvlLbl val="0"/>
      </c:catAx>
      <c:valAx>
        <c:axId val="421709616"/>
        <c:scaling>
          <c:orientation val="minMax"/>
          <c:max val="1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09224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Cromo Hexavalente (Cr6+)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'ABRIL VS MARZO'!$B$65</c:f>
              <c:strCache>
                <c:ptCount val="1"/>
                <c:pt idx="0">
                  <c:v>Cromo Hexavalente (Cr6+) - MARZO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95443991648525E-2"/>
                  <c:y val="-2.5398787207910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C3-495D-8D19-0B5D2FE0BCC6}"/>
                </c:ext>
              </c:extLst>
            </c:dLbl>
            <c:dLbl>
              <c:idx val="1"/>
              <c:layout>
                <c:manualLayout>
                  <c:x val="-2.4912494195406722E-2"/>
                  <c:y val="-1.904909040593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C3-495D-8D19-0B5D2FE0BCC6}"/>
                </c:ext>
              </c:extLst>
            </c:dLbl>
            <c:dLbl>
              <c:idx val="2"/>
              <c:layout>
                <c:manualLayout>
                  <c:x val="-1.5853405397076945E-2"/>
                  <c:y val="-2.8573635608899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C3-495D-8D19-0B5D2FE0BCC6}"/>
                </c:ext>
              </c:extLst>
            </c:dLbl>
            <c:dLbl>
              <c:idx val="3"/>
              <c:layout>
                <c:manualLayout>
                  <c:x val="-1.8118177596659454E-2"/>
                  <c:y val="-2.2223938806922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C3-495D-8D19-0B5D2FE0BCC6}"/>
                </c:ext>
              </c:extLst>
            </c:dLbl>
            <c:dLbl>
              <c:idx val="4"/>
              <c:layout>
                <c:manualLayout>
                  <c:x val="-3.3971582993736385E-2"/>
                  <c:y val="-1.9049090405933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C3-495D-8D19-0B5D2FE0BCC6}"/>
                </c:ext>
              </c:extLst>
            </c:dLbl>
            <c:dLbl>
              <c:idx val="5"/>
              <c:layout>
                <c:manualLayout>
                  <c:x val="-2.7177266394989116E-2"/>
                  <c:y val="-2.5398787207910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C3-495D-8D19-0B5D2FE0BCC6}"/>
                </c:ext>
              </c:extLst>
            </c:dLbl>
            <c:dLbl>
              <c:idx val="6"/>
              <c:layout>
                <c:manualLayout>
                  <c:x val="4.7560216191230874E-2"/>
                  <c:y val="-2.2223938806922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C3-495D-8D19-0B5D2FE0BCC6}"/>
                </c:ext>
              </c:extLst>
            </c:dLbl>
            <c:spPr>
              <a:noFill/>
              <a:ln>
                <a:solidFill>
                  <a:srgbClr val="FF9933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MARZO'!$F$65:$L$65</c:f>
              <c:numCache>
                <c:formatCode>General</c:formatCode>
                <c:ptCount val="7"/>
                <c:pt idx="0">
                  <c:v>1.2999999999999999E-2</c:v>
                </c:pt>
                <c:pt idx="1">
                  <c:v>3.7999999999999999E-2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4.2000000000000003E-2</c:v>
                </c:pt>
                <c:pt idx="5">
                  <c:v>1.4999999999999999E-2</c:v>
                </c:pt>
                <c:pt idx="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C3-495D-8D19-0B5D2FE0BCC6}"/>
            </c:ext>
          </c:extLst>
        </c:ser>
        <c:ser>
          <c:idx val="2"/>
          <c:order val="1"/>
          <c:tx>
            <c:strRef>
              <c:f>'ABRIL VS MARZO'!$B$67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C3-495D-8D19-0B5D2FE0BC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MARZO'!$F$67:$L$67</c:f>
              <c:numCache>
                <c:formatCode>General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C3-495D-8D19-0B5D2FE0BCC6}"/>
            </c:ext>
          </c:extLst>
        </c:ser>
        <c:ser>
          <c:idx val="3"/>
          <c:order val="2"/>
          <c:tx>
            <c:strRef>
              <c:f>'ABRIL VS MARZO'!$B$68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C3-495D-8D19-0B5D2FE0BCC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MARZO'!$F$68:$L$68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C3-495D-8D19-0B5D2FE0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10400"/>
        <c:axId val="421710792"/>
      </c:lineChart>
      <c:catAx>
        <c:axId val="4217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10792"/>
        <c:crosses val="autoZero"/>
        <c:auto val="1"/>
        <c:lblAlgn val="ctr"/>
        <c:lblOffset val="100"/>
        <c:noMultiLvlLbl val="0"/>
      </c:catAx>
      <c:valAx>
        <c:axId val="4217107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10400"/>
        <c:crosses val="autoZero"/>
        <c:crossBetween val="between"/>
        <c:majorUnit val="5.0000000000000017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ZINC</a:t>
            </a:r>
            <a:r>
              <a:rPr lang="en-US" baseline="0"/>
              <a:t> (</a:t>
            </a:r>
            <a:r>
              <a:rPr lang="en-US" sz="1400" b="0" i="0" u="none" strike="noStrike" baseline="0">
                <a:effectLst/>
              </a:rPr>
              <a:t>Zn)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MARZO 2022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MARZO'!$N$73</c:f>
              <c:strCache>
                <c:ptCount val="1"/>
                <c:pt idx="0">
                  <c:v>Zinc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7C7-43DB-A182-CA516FA8EBF6}"/>
                </c:ext>
              </c:extLst>
            </c:dLbl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MARZO'!$F$78:$L$79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MARZO'!$R$73:$X$73</c:f>
              <c:numCache>
                <c:formatCode>General</c:formatCode>
                <c:ptCount val="7"/>
                <c:pt idx="0">
                  <c:v>0.13</c:v>
                </c:pt>
                <c:pt idx="1">
                  <c:v>0.37</c:v>
                </c:pt>
                <c:pt idx="2">
                  <c:v>0.12</c:v>
                </c:pt>
                <c:pt idx="3">
                  <c:v>0.1</c:v>
                </c:pt>
                <c:pt idx="4">
                  <c:v>0.13</c:v>
                </c:pt>
                <c:pt idx="5">
                  <c:v>0.26</c:v>
                </c:pt>
                <c:pt idx="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E-471B-AE6E-0DBAA8A83514}"/>
            </c:ext>
          </c:extLst>
        </c:ser>
        <c:ser>
          <c:idx val="1"/>
          <c:order val="1"/>
          <c:tx>
            <c:strRef>
              <c:f>'ABRIL VS MARZO'!$N$74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EE-471B-AE6E-0DBAA8A8351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MARZO'!$F$78:$L$79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MARZO'!$Q$74:$X$74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EE-471B-AE6E-0DBAA8A8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711576"/>
        <c:axId val="421711968"/>
      </c:lineChart>
      <c:catAx>
        <c:axId val="42171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11968"/>
        <c:crosses val="autoZero"/>
        <c:auto val="1"/>
        <c:lblAlgn val="ctr"/>
        <c:lblOffset val="100"/>
        <c:noMultiLvlLbl val="0"/>
      </c:catAx>
      <c:valAx>
        <c:axId val="42171196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217115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Conductividad Eléctrica (µS/cm)</a:t>
            </a:r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2025'!$B$10</c:f>
              <c:strCache>
                <c:ptCount val="1"/>
                <c:pt idx="0">
                  <c:v>Conductividad Eléctrica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887917982437164E-2"/>
                  <c:y val="-5.734258219517338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06B-4293-AEE5-D3A55C81456D}"/>
                </c:ext>
              </c:extLst>
            </c:dLbl>
            <c:dLbl>
              <c:idx val="1"/>
              <c:layout>
                <c:manualLayout>
                  <c:x val="-6.9875502876670853E-2"/>
                  <c:y val="-2.2937032878069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06B-4293-AEE5-D3A55C81456D}"/>
                </c:ext>
              </c:extLst>
            </c:dLbl>
            <c:dLbl>
              <c:idx val="2"/>
              <c:layout>
                <c:manualLayout>
                  <c:x val="-5.6690401003590428E-2"/>
                  <c:y val="1.1468516439034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06B-4293-AEE5-D3A55C81456D}"/>
                </c:ext>
              </c:extLst>
            </c:dLbl>
            <c:dLbl>
              <c:idx val="3"/>
              <c:layout>
                <c:manualLayout>
                  <c:x val="-4.5702816109356829E-2"/>
                  <c:y val="2.867129109758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06B-4293-AEE5-D3A55C81456D}"/>
                </c:ext>
              </c:extLst>
            </c:dLbl>
            <c:dLbl>
              <c:idx val="4"/>
              <c:layout>
                <c:manualLayout>
                  <c:x val="-4.7900333088203489E-2"/>
                  <c:y val="3.440554931710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06B-4293-AEE5-D3A55C81456D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2025'!$F$10:$L$10</c:f>
              <c:numCache>
                <c:formatCode>_ * #,##0_ ;_ * \-#,##0_ ;_ * "-"??_ ;_ @_ </c:formatCode>
                <c:ptCount val="7"/>
                <c:pt idx="0">
                  <c:v>3330</c:v>
                </c:pt>
                <c:pt idx="1">
                  <c:v>2330</c:v>
                </c:pt>
                <c:pt idx="2">
                  <c:v>2950</c:v>
                </c:pt>
                <c:pt idx="3">
                  <c:v>2730</c:v>
                </c:pt>
                <c:pt idx="4">
                  <c:v>2147</c:v>
                </c:pt>
                <c:pt idx="5" formatCode="General">
                  <c:v>222</c:v>
                </c:pt>
                <c:pt idx="6" formatCode="General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B-4293-AEE5-D3A55C814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1205616"/>
        <c:axId val="1081211600"/>
      </c:lineChart>
      <c:catAx>
        <c:axId val="108120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1600"/>
        <c:crosses val="autoZero"/>
        <c:auto val="1"/>
        <c:lblAlgn val="ctr"/>
        <c:lblOffset val="100"/>
        <c:noMultiLvlLbl val="0"/>
      </c:catAx>
      <c:valAx>
        <c:axId val="1081211600"/>
        <c:scaling>
          <c:orientation val="minMax"/>
          <c:max val="36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56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'FEBRERO 2025'!$B$11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2025'!$F$11:$L$11</c:f>
              <c:numCache>
                <c:formatCode>0.0</c:formatCode>
                <c:ptCount val="7"/>
                <c:pt idx="0">
                  <c:v>6.74</c:v>
                </c:pt>
                <c:pt idx="1">
                  <c:v>6.8</c:v>
                </c:pt>
                <c:pt idx="2">
                  <c:v>6.8</c:v>
                </c:pt>
                <c:pt idx="3">
                  <c:v>6.3</c:v>
                </c:pt>
                <c:pt idx="4">
                  <c:v>6.5</c:v>
                </c:pt>
                <c:pt idx="5">
                  <c:v>7.8</c:v>
                </c:pt>
                <c:pt idx="6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E-4982-8F47-1822E12C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081212688"/>
        <c:axId val="1081209424"/>
      </c:lineChart>
      <c:catAx>
        <c:axId val="10812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9424"/>
        <c:crosses val="autoZero"/>
        <c:auto val="1"/>
        <c:lblAlgn val="ctr"/>
        <c:lblOffset val="100"/>
        <c:noMultiLvlLbl val="0"/>
      </c:catAx>
      <c:valAx>
        <c:axId val="1081209424"/>
        <c:scaling>
          <c:orientation val="minMax"/>
          <c:max val="8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2688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2025'!$B$12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2025'!$F$12:$L$12</c:f>
              <c:numCache>
                <c:formatCode>_ * #,##0_ ;_ * \-#,##0_ ;_ * "-"??_ ;_ @_ </c:formatCode>
                <c:ptCount val="7"/>
                <c:pt idx="0">
                  <c:v>1559</c:v>
                </c:pt>
                <c:pt idx="1">
                  <c:v>1103</c:v>
                </c:pt>
                <c:pt idx="2">
                  <c:v>1406</c:v>
                </c:pt>
                <c:pt idx="3">
                  <c:v>1310</c:v>
                </c:pt>
                <c:pt idx="4">
                  <c:v>1045</c:v>
                </c:pt>
                <c:pt idx="5" formatCode="_ * #,##0.0_ ;_ * \-#,##0.0_ ;_ * &quot;-&quot;??_ ;_ @_ ">
                  <c:v>107.5</c:v>
                </c:pt>
                <c:pt idx="6" formatCode="General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E-4BE7-A741-6474772DA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193104"/>
        <c:axId val="1081206160"/>
      </c:lineChart>
      <c:catAx>
        <c:axId val="10811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6160"/>
        <c:crosses val="autoZero"/>
        <c:auto val="1"/>
        <c:lblAlgn val="ctr"/>
        <c:lblOffset val="100"/>
        <c:noMultiLvlLbl val="0"/>
      </c:catAx>
      <c:valAx>
        <c:axId val="1081206160"/>
        <c:scaling>
          <c:orientation val="minMax"/>
          <c:max val="20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1931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'FEBRERO 2025'!$B$13</c:f>
              <c:strCache>
                <c:ptCount val="1"/>
                <c:pt idx="0">
                  <c:v>Temperatura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2025'!$F$13:$L$13</c:f>
              <c:numCache>
                <c:formatCode>General</c:formatCode>
                <c:ptCount val="7"/>
                <c:pt idx="0">
                  <c:v>29.7</c:v>
                </c:pt>
                <c:pt idx="1">
                  <c:v>28.5</c:v>
                </c:pt>
                <c:pt idx="2">
                  <c:v>28.4</c:v>
                </c:pt>
                <c:pt idx="3">
                  <c:v>27.9</c:v>
                </c:pt>
                <c:pt idx="4">
                  <c:v>27.6</c:v>
                </c:pt>
                <c:pt idx="5">
                  <c:v>24.1</c:v>
                </c:pt>
                <c:pt idx="6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4B-40BD-AD94-DD0E9E12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07248"/>
        <c:axId val="1081207792"/>
      </c:lineChart>
      <c:catAx>
        <c:axId val="10812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792"/>
        <c:crosses val="autoZero"/>
        <c:auto val="1"/>
        <c:lblAlgn val="ctr"/>
        <c:lblOffset val="100"/>
        <c:noMultiLvlLbl val="0"/>
      </c:catAx>
      <c:valAx>
        <c:axId val="1081207792"/>
        <c:scaling>
          <c:orientation val="minMax"/>
          <c:max val="29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248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Nitratos  (NO3-) </a:t>
            </a:r>
          </a:p>
        </c:rich>
      </c:tx>
      <c:layout/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5766953878355807E-2"/>
                  <c:y val="-2.3087817473682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60-4B1F-97E2-453933AE3371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E60-4B1F-97E2-453933AE3371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E60-4B1F-97E2-453933AE3371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E60-4B1F-97E2-453933AE3371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E60-4B1F-97E2-453933AE3371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E60-4B1F-97E2-453933AE3371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2025'!$F$17:$L$17</c:f>
              <c:numCache>
                <c:formatCode>0.0</c:formatCode>
                <c:ptCount val="7"/>
                <c:pt idx="0">
                  <c:v>3.5</c:v>
                </c:pt>
                <c:pt idx="1">
                  <c:v>3.1</c:v>
                </c:pt>
                <c:pt idx="2">
                  <c:v>10.5</c:v>
                </c:pt>
                <c:pt idx="3">
                  <c:v>3.8</c:v>
                </c:pt>
                <c:pt idx="4">
                  <c:v>3.8</c:v>
                </c:pt>
                <c:pt idx="5">
                  <c:v>10.9</c:v>
                </c:pt>
                <c:pt idx="6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60-4B1F-97E2-453933AE3371}"/>
            </c:ext>
          </c:extLst>
        </c:ser>
        <c:ser>
          <c:idx val="2"/>
          <c:order val="1"/>
          <c:tx>
            <c:strRef>
              <c:f>'FEBRERO 2025'!$B$32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E60-4B1F-97E2-453933AE337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2025'!$F$32:$L$32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60-4B1F-97E2-453933AE3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6128"/>
        <c:axId val="1088882864"/>
      </c:lineChart>
      <c:catAx>
        <c:axId val="10888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2864"/>
        <c:crosses val="autoZero"/>
        <c:auto val="1"/>
        <c:lblAlgn val="ctr"/>
        <c:lblOffset val="100"/>
        <c:noMultiLvlLbl val="0"/>
      </c:catAx>
      <c:valAx>
        <c:axId val="1088882864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6128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4119809929308289"/>
          <c:y val="0.61079789017567621"/>
          <c:w val="0.25880190070691694"/>
          <c:h val="9.79687329648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Nitritos(NO</a:t>
            </a:r>
            <a:r>
              <a:rPr lang="en-US" sz="1200" b="1">
                <a:solidFill>
                  <a:schemeClr val="bg1"/>
                </a:solidFill>
              </a:rPr>
              <a:t>2</a:t>
            </a:r>
            <a:r>
              <a:rPr lang="en-US" b="1">
                <a:solidFill>
                  <a:schemeClr val="bg1"/>
                </a:solidFill>
              </a:rPr>
              <a:t>-)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2025'!$B$18</c:f>
              <c:strCache>
                <c:ptCount val="1"/>
                <c:pt idx="0">
                  <c:v>Nitritos  (NO2-)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2025'!$F$18:$L$18</c:f>
            </c:numRef>
          </c:val>
          <c:smooth val="0"/>
          <c:extLst>
            <c:ext xmlns:c16="http://schemas.microsoft.com/office/drawing/2014/chart" uri="{C3380CC4-5D6E-409C-BE32-E72D297353CC}">
              <c16:uniqueId val="{00000000-BE44-4FFF-9B21-4F7C05773837}"/>
            </c:ext>
          </c:extLst>
        </c:ser>
        <c:ser>
          <c:idx val="2"/>
          <c:order val="1"/>
          <c:tx>
            <c:strRef>
              <c:f>'FEBRERO 2025'!$B$37</c:f>
              <c:strCache>
                <c:ptCount val="1"/>
                <c:pt idx="0">
                  <c:v>LMP-DS N° 004-2017  - RIEGO Y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44-4FFF-9B21-4F7C05773837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2025'!$F$37:$L$37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4-4FFF-9B21-4F7C05773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8848"/>
        <c:axId val="1088871984"/>
      </c:lineChart>
      <c:catAx>
        <c:axId val="10888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71984"/>
        <c:crosses val="autoZero"/>
        <c:auto val="1"/>
        <c:lblAlgn val="ctr"/>
        <c:lblOffset val="100"/>
        <c:noMultiLvlLbl val="0"/>
      </c:catAx>
      <c:valAx>
        <c:axId val="1088871984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8848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Conductividad Eléctrica (µS/cm)</a:t>
            </a:r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'JULIO 2025 '!$B$10</c:f>
              <c:strCache>
                <c:ptCount val="1"/>
                <c:pt idx="0">
                  <c:v>Conductividad Eléctrica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887917982437164E-2"/>
                  <c:y val="-5.734258219517338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A06-4EB6-833A-B1F6BD3E9850}"/>
                </c:ext>
              </c:extLst>
            </c:dLbl>
            <c:dLbl>
              <c:idx val="1"/>
              <c:layout>
                <c:manualLayout>
                  <c:x val="-6.9875502876670853E-2"/>
                  <c:y val="-2.2937032878069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A06-4EB6-833A-B1F6BD3E9850}"/>
                </c:ext>
              </c:extLst>
            </c:dLbl>
            <c:dLbl>
              <c:idx val="2"/>
              <c:layout>
                <c:manualLayout>
                  <c:x val="-5.6690401003590428E-2"/>
                  <c:y val="1.1468516439034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A06-4EB6-833A-B1F6BD3E9850}"/>
                </c:ext>
              </c:extLst>
            </c:dLbl>
            <c:dLbl>
              <c:idx val="3"/>
              <c:layout>
                <c:manualLayout>
                  <c:x val="-4.5702816109356829E-2"/>
                  <c:y val="2.867129109758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A06-4EB6-833A-B1F6BD3E9850}"/>
                </c:ext>
              </c:extLst>
            </c:dLbl>
            <c:dLbl>
              <c:idx val="4"/>
              <c:layout>
                <c:manualLayout>
                  <c:x val="-4.7900333088203489E-2"/>
                  <c:y val="3.440554931710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A06-4EB6-833A-B1F6BD3E9850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'!$F$10:$L$10</c:f>
              <c:numCache>
                <c:formatCode>_ * #,##0_ ;_ * \-#,##0_ ;_ * "-"??_ ;_ @_ </c:formatCode>
                <c:ptCount val="7"/>
                <c:pt idx="0">
                  <c:v>1946</c:v>
                </c:pt>
                <c:pt idx="1">
                  <c:v>2142</c:v>
                </c:pt>
                <c:pt idx="2">
                  <c:v>2850</c:v>
                </c:pt>
                <c:pt idx="3">
                  <c:v>2670</c:v>
                </c:pt>
                <c:pt idx="4">
                  <c:v>2129</c:v>
                </c:pt>
                <c:pt idx="5" formatCode="General">
                  <c:v>431</c:v>
                </c:pt>
                <c:pt idx="6" formatCode="General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06-4EB6-833A-B1F6BD3E98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1205616"/>
        <c:axId val="1081211600"/>
      </c:lineChart>
      <c:catAx>
        <c:axId val="108120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1600"/>
        <c:crosses val="autoZero"/>
        <c:auto val="1"/>
        <c:lblAlgn val="ctr"/>
        <c:lblOffset val="100"/>
        <c:noMultiLvlLbl val="0"/>
      </c:catAx>
      <c:valAx>
        <c:axId val="1081211600"/>
        <c:scaling>
          <c:orientation val="minMax"/>
          <c:max val="36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56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'JULIO 2025 '!$B$11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'!$F$11:$L$11</c:f>
              <c:numCache>
                <c:formatCode>0.0</c:formatCode>
                <c:ptCount val="7"/>
                <c:pt idx="0">
                  <c:v>8.06</c:v>
                </c:pt>
                <c:pt idx="1">
                  <c:v>7.78</c:v>
                </c:pt>
                <c:pt idx="2">
                  <c:v>7.86</c:v>
                </c:pt>
                <c:pt idx="3">
                  <c:v>8.0299999999999994</c:v>
                </c:pt>
                <c:pt idx="4">
                  <c:v>8.08</c:v>
                </c:pt>
                <c:pt idx="5">
                  <c:v>8.59</c:v>
                </c:pt>
                <c:pt idx="6">
                  <c:v>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C-4280-B160-7D2EE642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081212688"/>
        <c:axId val="1081209424"/>
      </c:lineChart>
      <c:catAx>
        <c:axId val="10812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9424"/>
        <c:crosses val="autoZero"/>
        <c:auto val="1"/>
        <c:lblAlgn val="ctr"/>
        <c:lblOffset val="100"/>
        <c:noMultiLvlLbl val="0"/>
      </c:catAx>
      <c:valAx>
        <c:axId val="1081209424"/>
        <c:scaling>
          <c:orientation val="minMax"/>
          <c:max val="8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2688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'JULIO 2025 '!$B$12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'!$F$12:$L$12</c:f>
              <c:numCache>
                <c:formatCode>_ * #,##0_ ;_ * \-#,##0_ ;_ * "-"??_ ;_ @_ </c:formatCode>
                <c:ptCount val="7"/>
                <c:pt idx="0">
                  <c:v>995</c:v>
                </c:pt>
                <c:pt idx="1">
                  <c:v>1071</c:v>
                </c:pt>
                <c:pt idx="2">
                  <c:v>1427</c:v>
                </c:pt>
                <c:pt idx="3">
                  <c:v>1329</c:v>
                </c:pt>
                <c:pt idx="4">
                  <c:v>1078</c:v>
                </c:pt>
                <c:pt idx="5">
                  <c:v>220</c:v>
                </c:pt>
                <c:pt idx="6" formatCode="General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6-4D70-85BB-4AC1C739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193104"/>
        <c:axId val="1081206160"/>
      </c:lineChart>
      <c:catAx>
        <c:axId val="10811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6160"/>
        <c:crosses val="autoZero"/>
        <c:auto val="1"/>
        <c:lblAlgn val="ctr"/>
        <c:lblOffset val="100"/>
        <c:noMultiLvlLbl val="0"/>
      </c:catAx>
      <c:valAx>
        <c:axId val="1081206160"/>
        <c:scaling>
          <c:orientation val="minMax"/>
          <c:max val="20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1931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'JULIO 2025 '!$B$13</c:f>
              <c:strCache>
                <c:ptCount val="1"/>
                <c:pt idx="0">
                  <c:v>Temperatura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'!$F$13:$L$13</c:f>
              <c:numCache>
                <c:formatCode>General</c:formatCode>
                <c:ptCount val="7"/>
                <c:pt idx="0">
                  <c:v>24.5</c:v>
                </c:pt>
                <c:pt idx="1">
                  <c:v>24.4</c:v>
                </c:pt>
                <c:pt idx="2">
                  <c:v>25.9</c:v>
                </c:pt>
                <c:pt idx="3">
                  <c:v>25.8</c:v>
                </c:pt>
                <c:pt idx="4">
                  <c:v>24.6</c:v>
                </c:pt>
                <c:pt idx="5">
                  <c:v>21.9</c:v>
                </c:pt>
                <c:pt idx="6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7-4AC8-A2D4-139BF64C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07248"/>
        <c:axId val="1081207792"/>
      </c:lineChart>
      <c:catAx>
        <c:axId val="10812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792"/>
        <c:crosses val="autoZero"/>
        <c:auto val="1"/>
        <c:lblAlgn val="ctr"/>
        <c:lblOffset val="100"/>
        <c:noMultiLvlLbl val="0"/>
      </c:catAx>
      <c:valAx>
        <c:axId val="1081207792"/>
        <c:scaling>
          <c:orientation val="minMax"/>
          <c:max val="29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248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Nitratos  (NO3-) </a:t>
            </a:r>
          </a:p>
        </c:rich>
      </c:tx>
      <c:layout/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'JULIO 2025 '!$B$17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5766953878355807E-2"/>
                  <c:y val="-2.3087817473682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27E-43F9-934B-63BC8B9B98C5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27E-43F9-934B-63BC8B9B98C5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27E-43F9-934B-63BC8B9B98C5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27E-43F9-934B-63BC8B9B98C5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27E-43F9-934B-63BC8B9B98C5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27E-43F9-934B-63BC8B9B98C5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'!$F$17:$L$17</c:f>
              <c:numCache>
                <c:formatCode>0.0</c:formatCode>
                <c:ptCount val="7"/>
                <c:pt idx="0">
                  <c:v>8.9</c:v>
                </c:pt>
                <c:pt idx="1">
                  <c:v>7.8</c:v>
                </c:pt>
                <c:pt idx="2">
                  <c:v>9.5</c:v>
                </c:pt>
                <c:pt idx="3">
                  <c:v>7.2</c:v>
                </c:pt>
                <c:pt idx="4">
                  <c:v>6.9</c:v>
                </c:pt>
                <c:pt idx="5">
                  <c:v>1.8</c:v>
                </c:pt>
                <c:pt idx="6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7E-43F9-934B-63BC8B9B98C5}"/>
            </c:ext>
          </c:extLst>
        </c:ser>
        <c:ser>
          <c:idx val="2"/>
          <c:order val="1"/>
          <c:tx>
            <c:strRef>
              <c:f>'JULIO 2025 '!$B$38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27E-43F9-934B-63BC8B9B98C5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'!$F$38:$L$38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7E-43F9-934B-63BC8B9B9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6128"/>
        <c:axId val="1088882864"/>
      </c:lineChart>
      <c:catAx>
        <c:axId val="10888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2864"/>
        <c:crosses val="autoZero"/>
        <c:auto val="1"/>
        <c:lblAlgn val="ctr"/>
        <c:lblOffset val="100"/>
        <c:noMultiLvlLbl val="0"/>
      </c:catAx>
      <c:valAx>
        <c:axId val="1088882864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6128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4119809929308289"/>
          <c:y val="0.61079789017567621"/>
          <c:w val="0.25880190070691694"/>
          <c:h val="9.79687329648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Nitritos(NO</a:t>
            </a:r>
            <a:r>
              <a:rPr lang="en-US" sz="1200" b="1">
                <a:solidFill>
                  <a:schemeClr val="bg1"/>
                </a:solidFill>
              </a:rPr>
              <a:t>2</a:t>
            </a:r>
            <a:r>
              <a:rPr lang="en-US" b="1">
                <a:solidFill>
                  <a:schemeClr val="bg1"/>
                </a:solidFill>
              </a:rPr>
              <a:t>-)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2025'!$B$18</c:f>
              <c:strCache>
                <c:ptCount val="1"/>
                <c:pt idx="0">
                  <c:v>Nitritos  (NO2-)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2025'!$F$18:$L$18</c:f>
            </c:numRef>
          </c:val>
          <c:smooth val="0"/>
          <c:extLst>
            <c:ext xmlns:c16="http://schemas.microsoft.com/office/drawing/2014/chart" uri="{C3380CC4-5D6E-409C-BE32-E72D297353CC}">
              <c16:uniqueId val="{00000000-B31C-4835-A49C-2A671D5BB93B}"/>
            </c:ext>
          </c:extLst>
        </c:ser>
        <c:ser>
          <c:idx val="2"/>
          <c:order val="1"/>
          <c:tx>
            <c:strRef>
              <c:f>'JULIO 2025 '!$B$43</c:f>
              <c:strCache>
                <c:ptCount val="1"/>
                <c:pt idx="0">
                  <c:v>LMP-DS N° 004-2017  - RIEGO Y ANIMALES</c:v>
                </c:pt>
              </c:strCache>
            </c:strRef>
          </c:tx>
          <c:marker>
            <c:symbol val="none"/>
          </c:marker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'JULIO 2025 '!$F$43:$L$43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1C-4835-A49C-2A671D5BB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8848"/>
        <c:axId val="1088871984"/>
      </c:lineChart>
      <c:catAx>
        <c:axId val="10888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71984"/>
        <c:crosses val="autoZero"/>
        <c:auto val="1"/>
        <c:lblAlgn val="ctr"/>
        <c:lblOffset val="100"/>
        <c:noMultiLvlLbl val="0"/>
      </c:catAx>
      <c:valAx>
        <c:axId val="1088871984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8848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Conductividad Eléctrica (µS/cm)</a:t>
            </a:r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'NOVIEMBRE 2025'!$B$10</c:f>
              <c:strCache>
                <c:ptCount val="1"/>
                <c:pt idx="0">
                  <c:v>Conductividad Eléctrica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887917982437164E-2"/>
                  <c:y val="-5.734258219517338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4F6-4A9F-97ED-A1DEE58FD573}"/>
                </c:ext>
              </c:extLst>
            </c:dLbl>
            <c:dLbl>
              <c:idx val="1"/>
              <c:layout>
                <c:manualLayout>
                  <c:x val="-6.9875502876670853E-2"/>
                  <c:y val="-2.2937032878069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4F6-4A9F-97ED-A1DEE58FD573}"/>
                </c:ext>
              </c:extLst>
            </c:dLbl>
            <c:dLbl>
              <c:idx val="2"/>
              <c:layout>
                <c:manualLayout>
                  <c:x val="-5.6690401003590428E-2"/>
                  <c:y val="1.1468516439034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4F6-4A9F-97ED-A1DEE58FD573}"/>
                </c:ext>
              </c:extLst>
            </c:dLbl>
            <c:dLbl>
              <c:idx val="3"/>
              <c:layout>
                <c:manualLayout>
                  <c:x val="-4.5702816109356829E-2"/>
                  <c:y val="2.867129109758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4F6-4A9F-97ED-A1DEE58FD573}"/>
                </c:ext>
              </c:extLst>
            </c:dLbl>
            <c:dLbl>
              <c:idx val="4"/>
              <c:layout>
                <c:manualLayout>
                  <c:x val="-4.7900333088203489E-2"/>
                  <c:y val="3.440554931710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4F6-4A9F-97ED-A1DEE58FD573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2025'!$F$10:$L$10</c:f>
              <c:numCache>
                <c:formatCode>_ * #,##0_ ;_ * \-#,##0_ ;_ * "-"??_ ;_ @_ </c:formatCode>
                <c:ptCount val="7"/>
                <c:pt idx="0">
                  <c:v>3260</c:v>
                </c:pt>
                <c:pt idx="1">
                  <c:v>2330</c:v>
                </c:pt>
                <c:pt idx="2">
                  <c:v>2960</c:v>
                </c:pt>
                <c:pt idx="3">
                  <c:v>2790</c:v>
                </c:pt>
                <c:pt idx="4">
                  <c:v>2360</c:v>
                </c:pt>
                <c:pt idx="5" formatCode="General">
                  <c:v>305</c:v>
                </c:pt>
                <c:pt idx="6" formatCode="General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F6-4A9F-97ED-A1DEE58FD5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1205616"/>
        <c:axId val="1081211600"/>
      </c:lineChart>
      <c:catAx>
        <c:axId val="108120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1600"/>
        <c:crosses val="autoZero"/>
        <c:auto val="1"/>
        <c:lblAlgn val="ctr"/>
        <c:lblOffset val="100"/>
        <c:noMultiLvlLbl val="0"/>
      </c:catAx>
      <c:valAx>
        <c:axId val="1081211600"/>
        <c:scaling>
          <c:orientation val="minMax"/>
          <c:max val="36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56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'NOVIEMBRE 2025'!$B$11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2025'!$F$11:$L$11</c:f>
              <c:numCache>
                <c:formatCode>0.0</c:formatCode>
                <c:ptCount val="7"/>
                <c:pt idx="0">
                  <c:v>8.0299999999999994</c:v>
                </c:pt>
                <c:pt idx="1">
                  <c:v>7.62</c:v>
                </c:pt>
                <c:pt idx="2">
                  <c:v>7.9</c:v>
                </c:pt>
                <c:pt idx="3">
                  <c:v>7.96</c:v>
                </c:pt>
                <c:pt idx="4">
                  <c:v>8.14</c:v>
                </c:pt>
                <c:pt idx="5">
                  <c:v>8.4700000000000006</c:v>
                </c:pt>
                <c:pt idx="6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1-4C38-BCA5-ADE7B470D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081212688"/>
        <c:axId val="1081209424"/>
      </c:lineChart>
      <c:catAx>
        <c:axId val="10812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9424"/>
        <c:crosses val="autoZero"/>
        <c:auto val="1"/>
        <c:lblAlgn val="ctr"/>
        <c:lblOffset val="100"/>
        <c:noMultiLvlLbl val="0"/>
      </c:catAx>
      <c:valAx>
        <c:axId val="1081209424"/>
        <c:scaling>
          <c:orientation val="minMax"/>
          <c:max val="8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12688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layout/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'NOVIEMBRE 2025'!$B$12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2025'!$F$12:$L$12</c:f>
              <c:numCache>
                <c:formatCode>_ * #,##0_ ;_ * \-#,##0_ ;_ * "-"??_ ;_ @_ </c:formatCode>
                <c:ptCount val="7"/>
                <c:pt idx="0">
                  <c:v>1540</c:v>
                </c:pt>
                <c:pt idx="1">
                  <c:v>1081</c:v>
                </c:pt>
                <c:pt idx="2">
                  <c:v>1360</c:v>
                </c:pt>
                <c:pt idx="3">
                  <c:v>1306</c:v>
                </c:pt>
                <c:pt idx="4">
                  <c:v>1124</c:v>
                </c:pt>
                <c:pt idx="5">
                  <c:v>143.80000000000001</c:v>
                </c:pt>
                <c:pt idx="6" formatCode="General">
                  <c:v>144.5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9-4574-BA4E-42ACCA6A8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193104"/>
        <c:axId val="1081206160"/>
      </c:lineChart>
      <c:catAx>
        <c:axId val="10811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6160"/>
        <c:crosses val="autoZero"/>
        <c:auto val="1"/>
        <c:lblAlgn val="ctr"/>
        <c:lblOffset val="100"/>
        <c:noMultiLvlLbl val="0"/>
      </c:catAx>
      <c:valAx>
        <c:axId val="1081206160"/>
        <c:scaling>
          <c:orientation val="minMax"/>
          <c:max val="20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1931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'NOVIEMBRE 2025'!$B$13</c:f>
              <c:strCache>
                <c:ptCount val="1"/>
                <c:pt idx="0">
                  <c:v>Temperatura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2025'!$F$13:$L$13</c:f>
              <c:numCache>
                <c:formatCode>General</c:formatCode>
                <c:ptCount val="7"/>
                <c:pt idx="0">
                  <c:v>29</c:v>
                </c:pt>
                <c:pt idx="1">
                  <c:v>29.1</c:v>
                </c:pt>
                <c:pt idx="2">
                  <c:v>30</c:v>
                </c:pt>
                <c:pt idx="3">
                  <c:v>29</c:v>
                </c:pt>
                <c:pt idx="4">
                  <c:v>28</c:v>
                </c:pt>
                <c:pt idx="5">
                  <c:v>25.1</c:v>
                </c:pt>
                <c:pt idx="6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9-4F78-B38B-2E09EE5D1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07248"/>
        <c:axId val="1081207792"/>
      </c:lineChart>
      <c:catAx>
        <c:axId val="10812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792"/>
        <c:crosses val="autoZero"/>
        <c:auto val="1"/>
        <c:lblAlgn val="ctr"/>
        <c:lblOffset val="100"/>
        <c:noMultiLvlLbl val="0"/>
      </c:catAx>
      <c:valAx>
        <c:axId val="1081207792"/>
        <c:scaling>
          <c:orientation val="minMax"/>
          <c:max val="29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1207248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Nitratos  (NO3-) </a:t>
            </a:r>
          </a:p>
        </c:rich>
      </c:tx>
      <c:layout/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'NOVIEMBRE 2025'!$B$17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5766953878355807E-2"/>
                  <c:y val="-2.3087817473682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411-489B-A48C-F144B67316FB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411-489B-A48C-F144B67316FB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411-489B-A48C-F144B67316FB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411-489B-A48C-F144B67316FB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411-489B-A48C-F144B67316FB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2025'!$F$17:$L$17</c:f>
              <c:numCache>
                <c:formatCode>0</c:formatCode>
                <c:ptCount val="7"/>
                <c:pt idx="0" formatCode="0.0">
                  <c:v>27.1</c:v>
                </c:pt>
                <c:pt idx="1">
                  <c:v>30.6</c:v>
                </c:pt>
                <c:pt idx="2" formatCode="0.0">
                  <c:v>29.9</c:v>
                </c:pt>
                <c:pt idx="3" formatCode="0.0">
                  <c:v>33.5</c:v>
                </c:pt>
                <c:pt idx="4" formatCode="0.0">
                  <c:v>40</c:v>
                </c:pt>
                <c:pt idx="5" formatCode="0.0">
                  <c:v>44.5</c:v>
                </c:pt>
                <c:pt idx="6" formatCode="0.0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11-489B-A48C-F144B67316FB}"/>
            </c:ext>
          </c:extLst>
        </c:ser>
        <c:ser>
          <c:idx val="2"/>
          <c:order val="1"/>
          <c:tx>
            <c:strRef>
              <c:f>'NOVIEMBRE 2025'!$B$38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411-489B-A48C-F144B67316FB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2025'!$F$38:$L$38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11-489B-A48C-F144B6731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6128"/>
        <c:axId val="1088882864"/>
      </c:lineChart>
      <c:catAx>
        <c:axId val="10888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2864"/>
        <c:crosses val="autoZero"/>
        <c:auto val="1"/>
        <c:lblAlgn val="ctr"/>
        <c:lblOffset val="100"/>
        <c:noMultiLvlLbl val="0"/>
      </c:catAx>
      <c:valAx>
        <c:axId val="1088882864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6128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4119809929308289"/>
          <c:y val="0.61079789017567621"/>
          <c:w val="0.25880190070691694"/>
          <c:h val="9.79687329648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Nitritos(NO</a:t>
            </a:r>
            <a:r>
              <a:rPr lang="en-US" sz="1200" b="1">
                <a:solidFill>
                  <a:schemeClr val="bg1"/>
                </a:solidFill>
              </a:rPr>
              <a:t>2</a:t>
            </a:r>
            <a:r>
              <a:rPr lang="en-US" b="1">
                <a:solidFill>
                  <a:schemeClr val="bg1"/>
                </a:solidFill>
              </a:rPr>
              <a:t>-)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'FEBRERO 2025'!$B$18</c:f>
              <c:strCache>
                <c:ptCount val="1"/>
                <c:pt idx="0">
                  <c:v>Nitritos  (NO2-)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'FEBRERO 2025'!$F$18:$L$18</c:f>
            </c:numRef>
          </c:val>
          <c:smooth val="0"/>
          <c:extLst>
            <c:ext xmlns:c16="http://schemas.microsoft.com/office/drawing/2014/chart" uri="{C3380CC4-5D6E-409C-BE32-E72D297353CC}">
              <c16:uniqueId val="{00000000-19C0-4FBD-BA74-D7791C79D11B}"/>
            </c:ext>
          </c:extLst>
        </c:ser>
        <c:ser>
          <c:idx val="2"/>
          <c:order val="1"/>
          <c:tx>
            <c:strRef>
              <c:f>'NOVIEMBRE 2025'!$B$43</c:f>
              <c:strCache>
                <c:ptCount val="1"/>
                <c:pt idx="0">
                  <c:v>LMP-DS N° 004-2017  - RIEGO Y ANIMALES</c:v>
                </c:pt>
              </c:strCache>
            </c:strRef>
          </c:tx>
          <c:marker>
            <c:symbol val="none"/>
          </c:marker>
          <c:cat>
            <c:strRef>
              <c:f>'[1]ABRIL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'NOVIEMBRE 2025'!$F$43:$L$43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0-4FBD-BA74-D7791C79D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888848"/>
        <c:axId val="1088871984"/>
      </c:lineChart>
      <c:catAx>
        <c:axId val="10888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71984"/>
        <c:crosses val="autoZero"/>
        <c:auto val="1"/>
        <c:lblAlgn val="ctr"/>
        <c:lblOffset val="100"/>
        <c:noMultiLvlLbl val="0"/>
      </c:catAx>
      <c:valAx>
        <c:axId val="1088871984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88888848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AGOSTO!$B$13</c:f>
              <c:strCache>
                <c:ptCount val="1"/>
                <c:pt idx="0">
                  <c:v>Turbidez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9464412908828E-2"/>
                  <c:y val="-4.550625711035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2D-41E6-AE95-4540C15CF5E3}"/>
                </c:ext>
              </c:extLst>
            </c:dLbl>
            <c:dLbl>
              <c:idx val="1"/>
              <c:layout>
                <c:manualLayout>
                  <c:x val="-4.9121302746619779E-2"/>
                  <c:y val="-5.0056882821388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2D-41E6-AE95-4540C15CF5E3}"/>
                </c:ext>
              </c:extLst>
            </c:dLbl>
            <c:dLbl>
              <c:idx val="2"/>
              <c:layout>
                <c:manualLayout>
                  <c:x val="-4.6535971023113479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2D-41E6-AE95-4540C15CF5E3}"/>
                </c:ext>
              </c:extLst>
            </c:dLbl>
            <c:dLbl>
              <c:idx val="3"/>
              <c:layout>
                <c:manualLayout>
                  <c:x val="-4.9121302746619779E-2"/>
                  <c:y val="-3.6405005688282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2D-41E6-AE95-4540C15CF5E3}"/>
                </c:ext>
              </c:extLst>
            </c:dLbl>
            <c:dLbl>
              <c:idx val="4"/>
              <c:layout>
                <c:manualLayout>
                  <c:x val="-6.9803956534670211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2D-41E6-AE95-4540C15CF5E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AGOSTO!$F$13:$L$13</c:f>
              <c:numCache>
                <c:formatCode>General</c:formatCode>
                <c:ptCount val="7"/>
                <c:pt idx="0">
                  <c:v>11.5</c:v>
                </c:pt>
                <c:pt idx="1">
                  <c:v>17.600000000000001</c:v>
                </c:pt>
                <c:pt idx="2">
                  <c:v>21.8</c:v>
                </c:pt>
                <c:pt idx="3">
                  <c:v>35.6</c:v>
                </c:pt>
                <c:pt idx="4">
                  <c:v>57.6</c:v>
                </c:pt>
                <c:pt idx="5">
                  <c:v>348</c:v>
                </c:pt>
                <c:pt idx="6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D1-4B11-A9B8-66DE3BB8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10592"/>
        <c:axId val="441910984"/>
      </c:lineChart>
      <c:catAx>
        <c:axId val="4419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0984"/>
        <c:crosses val="autoZero"/>
        <c:auto val="1"/>
        <c:lblAlgn val="ctr"/>
        <c:lblOffset val="100"/>
        <c:noMultiLvlLbl val="0"/>
      </c:catAx>
      <c:valAx>
        <c:axId val="441910984"/>
        <c:scaling>
          <c:orientation val="minMax"/>
          <c:max val="5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Conductividad Eléctrica (µS/cm)</a:t>
            </a:r>
          </a:p>
        </c:rich>
      </c:tx>
      <c:overlay val="0"/>
      <c:spPr>
        <a:solidFill>
          <a:srgbClr val="FF9933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AGOSTO!$B$9</c:f>
              <c:strCache>
                <c:ptCount val="1"/>
                <c:pt idx="0">
                  <c:v>Conductividad Eléctrica</c:v>
                </c:pt>
              </c:strCache>
            </c:strRef>
          </c:tx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AGOSTO!$F$9:$L$9</c:f>
              <c:numCache>
                <c:formatCode>_ * #,##0_ ;_ * \-#,##0_ ;_ * "-"??_ ;_ @_ </c:formatCode>
                <c:ptCount val="7"/>
                <c:pt idx="0">
                  <c:v>3050</c:v>
                </c:pt>
                <c:pt idx="1">
                  <c:v>2048</c:v>
                </c:pt>
                <c:pt idx="2">
                  <c:v>2740</c:v>
                </c:pt>
                <c:pt idx="3">
                  <c:v>2520</c:v>
                </c:pt>
                <c:pt idx="4">
                  <c:v>2222</c:v>
                </c:pt>
                <c:pt idx="5">
                  <c:v>512</c:v>
                </c:pt>
                <c:pt idx="6" formatCode="0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3-4E1C-9125-72E556D0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11768"/>
        <c:axId val="441912160"/>
      </c:lineChart>
      <c:catAx>
        <c:axId val="44191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2160"/>
        <c:crosses val="autoZero"/>
        <c:auto val="1"/>
        <c:lblAlgn val="ctr"/>
        <c:lblOffset val="100"/>
        <c:noMultiLvlLbl val="0"/>
      </c:catAx>
      <c:valAx>
        <c:axId val="44191216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1768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AGOSTO!$B$10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AGOSTO!$F$10:$L$10</c:f>
              <c:numCache>
                <c:formatCode>0.0</c:formatCode>
                <c:ptCount val="7"/>
                <c:pt idx="0">
                  <c:v>7.33</c:v>
                </c:pt>
                <c:pt idx="1">
                  <c:v>7.25</c:v>
                </c:pt>
                <c:pt idx="2">
                  <c:v>7.34</c:v>
                </c:pt>
                <c:pt idx="3">
                  <c:v>7.41</c:v>
                </c:pt>
                <c:pt idx="4">
                  <c:v>7.49</c:v>
                </c:pt>
                <c:pt idx="5">
                  <c:v>7.74</c:v>
                </c:pt>
                <c:pt idx="6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D1-4B11-A9B8-66DE3BB8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12944"/>
        <c:axId val="441913336"/>
      </c:lineChart>
      <c:catAx>
        <c:axId val="4419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3336"/>
        <c:crosses val="autoZero"/>
        <c:auto val="1"/>
        <c:lblAlgn val="ctr"/>
        <c:lblOffset val="100"/>
        <c:noMultiLvlLbl val="0"/>
      </c:catAx>
      <c:valAx>
        <c:axId val="441913336"/>
        <c:scaling>
          <c:orientation val="minMax"/>
          <c:max val="7.8"/>
          <c:min val="7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29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AGOSTO!$B$11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AGOSTO!$F$11:$L$11</c:f>
              <c:numCache>
                <c:formatCode>_ * #,##0_ ;_ * \-#,##0_ ;_ * "-"??_ ;_ @_ </c:formatCode>
                <c:ptCount val="7"/>
                <c:pt idx="0">
                  <c:v>1685</c:v>
                </c:pt>
                <c:pt idx="1">
                  <c:v>1113</c:v>
                </c:pt>
                <c:pt idx="2">
                  <c:v>1505</c:v>
                </c:pt>
                <c:pt idx="3">
                  <c:v>1382</c:v>
                </c:pt>
                <c:pt idx="4">
                  <c:v>1212</c:v>
                </c:pt>
                <c:pt idx="5">
                  <c:v>266</c:v>
                </c:pt>
                <c:pt idx="6" formatCode="0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3-4E1C-9125-72E556D0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14120"/>
        <c:axId val="441914512"/>
      </c:lineChart>
      <c:catAx>
        <c:axId val="44191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4512"/>
        <c:crosses val="autoZero"/>
        <c:auto val="1"/>
        <c:lblAlgn val="ctr"/>
        <c:lblOffset val="100"/>
        <c:noMultiLvlLbl val="0"/>
      </c:catAx>
      <c:valAx>
        <c:axId val="441914512"/>
        <c:scaling>
          <c:orientation val="minMax"/>
          <c:max val="17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4120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AGOSTO!$B$12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52814249714502E-2"/>
                  <c:y val="-4.236540394411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13-4D86-A626-32275D460147}"/>
                </c:ext>
              </c:extLst>
            </c:dLbl>
            <c:dLbl>
              <c:idx val="1"/>
              <c:layout>
                <c:manualLayout>
                  <c:x val="-3.3652814249714481E-2"/>
                  <c:y val="3.389232315529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13-4D86-A626-32275D460147}"/>
                </c:ext>
              </c:extLst>
            </c:dLbl>
            <c:dLbl>
              <c:idx val="2"/>
              <c:layout>
                <c:manualLayout>
                  <c:x val="-3.8830170288132092E-2"/>
                  <c:y val="2.541924236647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13-4D86-A626-32275D460147}"/>
                </c:ext>
              </c:extLst>
            </c:dLbl>
            <c:dLbl>
              <c:idx val="3"/>
              <c:layout>
                <c:manualLayout>
                  <c:x val="-4.6596204345758563E-2"/>
                  <c:y val="-1.69461615776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13-4D86-A626-32275D460147}"/>
                </c:ext>
              </c:extLst>
            </c:dLbl>
            <c:dLbl>
              <c:idx val="4"/>
              <c:layout>
                <c:manualLayout>
                  <c:x val="-2.8475458211296965E-2"/>
                  <c:y val="-8.47308078882380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13-4D86-A626-32275D460147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AGOSTO!$F$12:$L$12</c:f>
              <c:numCache>
                <c:formatCode>0.0</c:formatCode>
                <c:ptCount val="7"/>
                <c:pt idx="0">
                  <c:v>21.6</c:v>
                </c:pt>
                <c:pt idx="1">
                  <c:v>21.6</c:v>
                </c:pt>
                <c:pt idx="2">
                  <c:v>21.6</c:v>
                </c:pt>
                <c:pt idx="3">
                  <c:v>21.7</c:v>
                </c:pt>
                <c:pt idx="4">
                  <c:v>21.7</c:v>
                </c:pt>
                <c:pt idx="5">
                  <c:v>21.6</c:v>
                </c:pt>
                <c:pt idx="6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D1-4B11-A9B8-66DE3BB8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15296"/>
        <c:axId val="441915688"/>
      </c:lineChart>
      <c:catAx>
        <c:axId val="4419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5688"/>
        <c:crosses val="autoZero"/>
        <c:auto val="1"/>
        <c:lblAlgn val="ctr"/>
        <c:lblOffset val="100"/>
        <c:noMultiLvlLbl val="0"/>
      </c:catAx>
      <c:valAx>
        <c:axId val="441915688"/>
        <c:scaling>
          <c:orientation val="minMax"/>
          <c:max val="22"/>
          <c:min val="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5296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AGOSTO!$B$17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529955862228757E-3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19-43ED-9977-637CE0D5F947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19-43ED-9977-637CE0D5F947}"/>
                </c:ext>
              </c:extLst>
            </c:dLbl>
            <c:dLbl>
              <c:idx val="2"/>
              <c:layout>
                <c:manualLayout>
                  <c:x val="0"/>
                  <c:y val="-2.3568548686417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19-43ED-9977-637CE0D5F947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19-43ED-9977-637CE0D5F947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19-43ED-9977-637CE0D5F947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19-43ED-9977-637CE0D5F947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AGOSTO!$F$17:$L$17</c:f>
              <c:numCache>
                <c:formatCode>General</c:formatCode>
                <c:ptCount val="7"/>
                <c:pt idx="0">
                  <c:v>3.1</c:v>
                </c:pt>
                <c:pt idx="1">
                  <c:v>4.0999999999999996</c:v>
                </c:pt>
                <c:pt idx="2" formatCode="0.0">
                  <c:v>3.1</c:v>
                </c:pt>
                <c:pt idx="3">
                  <c:v>3.2</c:v>
                </c:pt>
                <c:pt idx="4">
                  <c:v>3.4</c:v>
                </c:pt>
                <c:pt idx="5">
                  <c:v>0.5</c:v>
                </c:pt>
                <c:pt idx="6" formatCode="0.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05-4316-92D4-BEB20F1F4725}"/>
            </c:ext>
          </c:extLst>
        </c:ser>
        <c:ser>
          <c:idx val="2"/>
          <c:order val="1"/>
          <c:tx>
            <c:strRef>
              <c:f>AGOSTO!$B$25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19-43ED-9977-637CE0D5F947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AGOSTO!$F$25:$L$25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05-4316-92D4-BEB20F1F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16472"/>
        <c:axId val="441916864"/>
      </c:lineChart>
      <c:catAx>
        <c:axId val="44191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6864"/>
        <c:crosses val="autoZero"/>
        <c:auto val="1"/>
        <c:lblAlgn val="ctr"/>
        <c:lblOffset val="100"/>
        <c:noMultiLvlLbl val="0"/>
      </c:catAx>
      <c:valAx>
        <c:axId val="441916864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6472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Cobre (Cu) </a:t>
            </a:r>
          </a:p>
        </c:rich>
      </c:tx>
      <c:overlay val="0"/>
      <c:spPr>
        <a:solidFill>
          <a:srgbClr val="99FFC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AGOSTO!$B$18</c:f>
              <c:strCache>
                <c:ptCount val="1"/>
                <c:pt idx="0">
                  <c:v>Cobre (Cu)</c:v>
                </c:pt>
              </c:strCache>
            </c:strRef>
          </c:tx>
          <c:spPr>
            <a:ln w="28575">
              <a:solidFill>
                <a:srgbClr val="99FFCC"/>
              </a:solidFill>
            </a:ln>
          </c:spPr>
          <c:marker>
            <c:symbol val="none"/>
          </c:marker>
          <c:dLbls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AGOSTO!$F$18:$L$18</c:f>
              <c:numCache>
                <c:formatCode>0.0</c:formatCode>
                <c:ptCount val="7"/>
                <c:pt idx="0">
                  <c:v>0.39</c:v>
                </c:pt>
                <c:pt idx="1">
                  <c:v>0.56000000000000005</c:v>
                </c:pt>
                <c:pt idx="2">
                  <c:v>0.76</c:v>
                </c:pt>
                <c:pt idx="3">
                  <c:v>0.28999999999999998</c:v>
                </c:pt>
                <c:pt idx="4">
                  <c:v>0.96</c:v>
                </c:pt>
                <c:pt idx="5" formatCode="0.00">
                  <c:v>0.08</c:v>
                </c:pt>
                <c:pt idx="6" formatCode="0.0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70-48F9-AF6D-22E535BF63D6}"/>
            </c:ext>
          </c:extLst>
        </c:ser>
        <c:ser>
          <c:idx val="2"/>
          <c:order val="1"/>
          <c:tx>
            <c:strRef>
              <c:f>AGOSTO!$B$26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3F-42C7-9F7E-6FBF613033A8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AGOSTO!$F$26:$L$26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70-48F9-AF6D-22E535BF63D6}"/>
            </c:ext>
          </c:extLst>
        </c:ser>
        <c:ser>
          <c:idx val="3"/>
          <c:order val="2"/>
          <c:tx>
            <c:strRef>
              <c:f>AGOSTO!$B$27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3F-42C7-9F7E-6FBF613033A8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AGOSTO!$F$27:$L$27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70-48F9-AF6D-22E535BF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17648"/>
        <c:axId val="441918040"/>
      </c:lineChart>
      <c:catAx>
        <c:axId val="4419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8040"/>
        <c:crosses val="autoZero"/>
        <c:auto val="1"/>
        <c:lblAlgn val="ctr"/>
        <c:lblOffset val="100"/>
        <c:noMultiLvlLbl val="0"/>
      </c:catAx>
      <c:valAx>
        <c:axId val="4419180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7648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Sulfatos  (SO₄²-)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AGOSTO!$B$16</c:f>
              <c:strCache>
                <c:ptCount val="1"/>
                <c:pt idx="0">
                  <c:v>Sulfatos  (SO₄²-)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AGOSTO!$F$16:$L$16</c:f>
              <c:numCache>
                <c:formatCode>General</c:formatCode>
                <c:ptCount val="7"/>
                <c:pt idx="0">
                  <c:v>220</c:v>
                </c:pt>
                <c:pt idx="1">
                  <c:v>140</c:v>
                </c:pt>
                <c:pt idx="2">
                  <c:v>230</c:v>
                </c:pt>
                <c:pt idx="3">
                  <c:v>230</c:v>
                </c:pt>
                <c:pt idx="4">
                  <c:v>205</c:v>
                </c:pt>
                <c:pt idx="5">
                  <c:v>130</c:v>
                </c:pt>
                <c:pt idx="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70-48F9-AF6D-22E535BF63D6}"/>
            </c:ext>
          </c:extLst>
        </c:ser>
        <c:ser>
          <c:idx val="2"/>
          <c:order val="1"/>
          <c:tx>
            <c:strRef>
              <c:f>AGOSTO!$B$24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A3-4F99-ABF6-1A2D15758F8B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AGOSTO!$F$24:$L$24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70-48F9-AF6D-22E535BF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18824"/>
        <c:axId val="441919216"/>
      </c:lineChart>
      <c:catAx>
        <c:axId val="44191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9216"/>
        <c:crosses val="autoZero"/>
        <c:auto val="1"/>
        <c:lblAlgn val="ctr"/>
        <c:lblOffset val="100"/>
        <c:noMultiLvlLbl val="0"/>
      </c:catAx>
      <c:valAx>
        <c:axId val="441919216"/>
        <c:scaling>
          <c:orientation val="minMax"/>
          <c:max val="1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18824"/>
        <c:crosses val="autoZero"/>
        <c:crossBetween val="between"/>
        <c:majorUnit val="8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F0"/>
        </a:solidFill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SETIEMBRE!$B$13</c:f>
              <c:strCache>
                <c:ptCount val="1"/>
                <c:pt idx="0">
                  <c:v>Turbidez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9464412908828E-2"/>
                  <c:y val="-4.550625711035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C6-48B3-B3C2-B31986E23664}"/>
                </c:ext>
              </c:extLst>
            </c:dLbl>
            <c:dLbl>
              <c:idx val="1"/>
              <c:layout>
                <c:manualLayout>
                  <c:x val="-4.9121302746619779E-2"/>
                  <c:y val="-5.0056882821388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C6-48B3-B3C2-B31986E23664}"/>
                </c:ext>
              </c:extLst>
            </c:dLbl>
            <c:dLbl>
              <c:idx val="2"/>
              <c:layout>
                <c:manualLayout>
                  <c:x val="-4.6535971023113479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C6-48B3-B3C2-B31986E23664}"/>
                </c:ext>
              </c:extLst>
            </c:dLbl>
            <c:dLbl>
              <c:idx val="3"/>
              <c:layout>
                <c:manualLayout>
                  <c:x val="-4.9121302746619779E-2"/>
                  <c:y val="-3.6405005688282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C6-48B3-B3C2-B31986E23664}"/>
                </c:ext>
              </c:extLst>
            </c:dLbl>
            <c:dLbl>
              <c:idx val="4"/>
              <c:layout>
                <c:manualLayout>
                  <c:x val="-4.7163279116848186E-2"/>
                  <c:y val="-4.039481944064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C6-48B3-B3C2-B31986E2366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SETIEMBRE!$F$13:$L$13</c:f>
              <c:numCache>
                <c:formatCode>General</c:formatCode>
                <c:ptCount val="7"/>
                <c:pt idx="0">
                  <c:v>17.100000000000001</c:v>
                </c:pt>
                <c:pt idx="1">
                  <c:v>12.4</c:v>
                </c:pt>
                <c:pt idx="2">
                  <c:v>14</c:v>
                </c:pt>
                <c:pt idx="3">
                  <c:v>26.8</c:v>
                </c:pt>
                <c:pt idx="4">
                  <c:v>37</c:v>
                </c:pt>
                <c:pt idx="5">
                  <c:v>121</c:v>
                </c:pt>
                <c:pt idx="6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C6-48B3-B3C2-B31986E2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20392"/>
        <c:axId val="441920784"/>
      </c:lineChart>
      <c:catAx>
        <c:axId val="44192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0784"/>
        <c:crosses val="autoZero"/>
        <c:auto val="1"/>
        <c:lblAlgn val="ctr"/>
        <c:lblOffset val="100"/>
        <c:noMultiLvlLbl val="0"/>
      </c:catAx>
      <c:valAx>
        <c:axId val="441920784"/>
        <c:scaling>
          <c:orientation val="minMax"/>
          <c:max val="15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039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Conductividad Eléctrica (µS/cm)</a:t>
            </a:r>
          </a:p>
        </c:rich>
      </c:tx>
      <c:overlay val="0"/>
      <c:spPr>
        <a:solidFill>
          <a:srgbClr val="FF9933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SETIEMBRE!$B$9</c:f>
              <c:strCache>
                <c:ptCount val="1"/>
                <c:pt idx="0">
                  <c:v>Conductividad Eléctrica</c:v>
                </c:pt>
              </c:strCache>
            </c:strRef>
          </c:tx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SETIEMBRE!$F$9:$L$9</c:f>
              <c:numCache>
                <c:formatCode>_ * #,##0_ ;_ * \-#,##0_ ;_ * "-"??_ ;_ @_ </c:formatCode>
                <c:ptCount val="7"/>
                <c:pt idx="0">
                  <c:v>3300</c:v>
                </c:pt>
                <c:pt idx="1">
                  <c:v>2210</c:v>
                </c:pt>
                <c:pt idx="2">
                  <c:v>2960</c:v>
                </c:pt>
                <c:pt idx="3">
                  <c:v>2800</c:v>
                </c:pt>
                <c:pt idx="4">
                  <c:v>2520</c:v>
                </c:pt>
                <c:pt idx="5">
                  <c:v>520</c:v>
                </c:pt>
                <c:pt idx="6" formatCode="0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F-4E08-AC06-A4C306EB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1568"/>
        <c:axId val="441921960"/>
      </c:lineChart>
      <c:catAx>
        <c:axId val="4419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1960"/>
        <c:crosses val="autoZero"/>
        <c:auto val="1"/>
        <c:lblAlgn val="ctr"/>
        <c:lblOffset val="100"/>
        <c:noMultiLvlLbl val="0"/>
      </c:catAx>
      <c:valAx>
        <c:axId val="44192196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1568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SETIEMBRE!$B$10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SETIEMBRE!$F$10:$L$10</c:f>
              <c:numCache>
                <c:formatCode>0.0</c:formatCode>
                <c:ptCount val="7"/>
                <c:pt idx="0">
                  <c:v>7.29</c:v>
                </c:pt>
                <c:pt idx="1">
                  <c:v>6.61</c:v>
                </c:pt>
                <c:pt idx="2">
                  <c:v>7.03</c:v>
                </c:pt>
                <c:pt idx="3">
                  <c:v>7.52</c:v>
                </c:pt>
                <c:pt idx="4">
                  <c:v>7.75</c:v>
                </c:pt>
                <c:pt idx="5">
                  <c:v>8.2100000000000009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7-484F-97B7-DB26F0F7F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22744"/>
        <c:axId val="441923136"/>
      </c:lineChart>
      <c:catAx>
        <c:axId val="44192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3136"/>
        <c:crosses val="autoZero"/>
        <c:auto val="1"/>
        <c:lblAlgn val="ctr"/>
        <c:lblOffset val="100"/>
        <c:noMultiLvlLbl val="0"/>
      </c:catAx>
      <c:valAx>
        <c:axId val="441923136"/>
        <c:scaling>
          <c:orientation val="minMax"/>
          <c:max val="8.3000000000000007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27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SETIEMBRE!$B$11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SETIEMBRE!$F$11:$L$11</c:f>
              <c:numCache>
                <c:formatCode>_ * #,##0_ ;_ * \-#,##0_ ;_ * "-"??_ ;_ @_ </c:formatCode>
                <c:ptCount val="7"/>
                <c:pt idx="0">
                  <c:v>1697</c:v>
                </c:pt>
                <c:pt idx="1">
                  <c:v>1119</c:v>
                </c:pt>
                <c:pt idx="2">
                  <c:v>1515</c:v>
                </c:pt>
                <c:pt idx="3">
                  <c:v>1430</c:v>
                </c:pt>
                <c:pt idx="4">
                  <c:v>1284</c:v>
                </c:pt>
                <c:pt idx="5">
                  <c:v>254</c:v>
                </c:pt>
                <c:pt idx="6" formatCode="0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3-4693-A2CA-9A462A69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3920"/>
        <c:axId val="441924312"/>
      </c:lineChart>
      <c:catAx>
        <c:axId val="44192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4312"/>
        <c:crosses val="autoZero"/>
        <c:auto val="1"/>
        <c:lblAlgn val="ctr"/>
        <c:lblOffset val="100"/>
        <c:noMultiLvlLbl val="0"/>
      </c:catAx>
      <c:valAx>
        <c:axId val="441924312"/>
        <c:scaling>
          <c:orientation val="minMax"/>
          <c:max val="17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3920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SETIEMBRE!$B$12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52814249714502E-2"/>
                  <c:y val="-4.236540394411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0-49A2-8D22-4203D5FABB35}"/>
                </c:ext>
              </c:extLst>
            </c:dLbl>
            <c:dLbl>
              <c:idx val="1"/>
              <c:layout>
                <c:manualLayout>
                  <c:x val="-3.3652814249714481E-2"/>
                  <c:y val="3.389232315529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B0-49A2-8D22-4203D5FABB35}"/>
                </c:ext>
              </c:extLst>
            </c:dLbl>
            <c:dLbl>
              <c:idx val="2"/>
              <c:layout>
                <c:manualLayout>
                  <c:x val="-3.8830170288132092E-2"/>
                  <c:y val="2.541924236647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B0-49A2-8D22-4203D5FABB35}"/>
                </c:ext>
              </c:extLst>
            </c:dLbl>
            <c:dLbl>
              <c:idx val="3"/>
              <c:layout>
                <c:manualLayout>
                  <c:x val="-4.6596204345758563E-2"/>
                  <c:y val="-1.69461615776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B0-49A2-8D22-4203D5FABB35}"/>
                </c:ext>
              </c:extLst>
            </c:dLbl>
            <c:dLbl>
              <c:idx val="4"/>
              <c:layout>
                <c:manualLayout>
                  <c:x val="-2.8475458211296965E-2"/>
                  <c:y val="-8.47308078882380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B0-49A2-8D22-4203D5FABB35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SETIEMBRE!$F$12:$L$12</c:f>
              <c:numCache>
                <c:formatCode>0.0</c:formatCode>
                <c:ptCount val="7"/>
                <c:pt idx="0">
                  <c:v>25</c:v>
                </c:pt>
                <c:pt idx="1">
                  <c:v>24.9</c:v>
                </c:pt>
                <c:pt idx="2">
                  <c:v>25.2</c:v>
                </c:pt>
                <c:pt idx="3">
                  <c:v>24.2</c:v>
                </c:pt>
                <c:pt idx="4">
                  <c:v>23.2</c:v>
                </c:pt>
                <c:pt idx="5">
                  <c:v>21.5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B0-49A2-8D22-4203D5FAB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25096"/>
        <c:axId val="441925488"/>
      </c:lineChart>
      <c:catAx>
        <c:axId val="44192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5488"/>
        <c:crosses val="autoZero"/>
        <c:auto val="1"/>
        <c:lblAlgn val="ctr"/>
        <c:lblOffset val="100"/>
        <c:noMultiLvlLbl val="0"/>
      </c:catAx>
      <c:valAx>
        <c:axId val="441925488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5096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SETIEMBRE!$B$17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529955862228757E-3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FD-4192-8081-D1C60923584A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FD-4192-8081-D1C60923584A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FD-4192-8081-D1C60923584A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FD-4192-8081-D1C60923584A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FD-4192-8081-D1C60923584A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FD-4192-8081-D1C60923584A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SETIEMBRE!$F$17:$L$17</c:f>
              <c:numCache>
                <c:formatCode>General</c:formatCode>
                <c:ptCount val="7"/>
                <c:pt idx="0">
                  <c:v>5.4</c:v>
                </c:pt>
                <c:pt idx="1">
                  <c:v>4.7</c:v>
                </c:pt>
                <c:pt idx="2" formatCode="0.0">
                  <c:v>5.0999999999999996</c:v>
                </c:pt>
                <c:pt idx="3" formatCode="0.0">
                  <c:v>5</c:v>
                </c:pt>
                <c:pt idx="4">
                  <c:v>4.9000000000000004</c:v>
                </c:pt>
                <c:pt idx="5">
                  <c:v>1.1000000000000001</c:v>
                </c:pt>
                <c:pt idx="6" formatCode="0.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FD-4192-8081-D1C60923584A}"/>
            </c:ext>
          </c:extLst>
        </c:ser>
        <c:ser>
          <c:idx val="2"/>
          <c:order val="1"/>
          <c:tx>
            <c:strRef>
              <c:f>SETIEMBRE!$B$25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FD-4192-8081-D1C60923584A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SETIEMBRE!$F$25:$L$25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FD-4192-8081-D1C609235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6272"/>
        <c:axId val="441926664"/>
      </c:lineChart>
      <c:catAx>
        <c:axId val="4419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6664"/>
        <c:crosses val="autoZero"/>
        <c:auto val="1"/>
        <c:lblAlgn val="ctr"/>
        <c:lblOffset val="100"/>
        <c:noMultiLvlLbl val="0"/>
      </c:catAx>
      <c:valAx>
        <c:axId val="441926664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6272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Sulfatos  (SO₄²-)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SETIEMBRE!$B$16</c:f>
              <c:strCache>
                <c:ptCount val="1"/>
                <c:pt idx="0">
                  <c:v>Sulfatos  (SO₄²-)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SETIEMBRE!$F$16:$L$16</c:f>
              <c:numCache>
                <c:formatCode>General</c:formatCode>
                <c:ptCount val="7"/>
                <c:pt idx="0">
                  <c:v>185</c:v>
                </c:pt>
                <c:pt idx="1">
                  <c:v>140</c:v>
                </c:pt>
                <c:pt idx="2">
                  <c:v>165</c:v>
                </c:pt>
                <c:pt idx="3">
                  <c:v>180</c:v>
                </c:pt>
                <c:pt idx="4">
                  <c:v>180</c:v>
                </c:pt>
                <c:pt idx="5">
                  <c:v>110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1-49B6-96F9-1C58CAD28071}"/>
            </c:ext>
          </c:extLst>
        </c:ser>
        <c:ser>
          <c:idx val="2"/>
          <c:order val="1"/>
          <c:tx>
            <c:strRef>
              <c:f>SETIEMBRE!$B$24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1-49B6-96F9-1C58CAD2807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SETIEMBRE!$F$24:$L$24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1-49B6-96F9-1C58CAD28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7448"/>
        <c:axId val="441927840"/>
      </c:lineChart>
      <c:catAx>
        <c:axId val="44192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7840"/>
        <c:crosses val="autoZero"/>
        <c:auto val="1"/>
        <c:lblAlgn val="ctr"/>
        <c:lblOffset val="100"/>
        <c:noMultiLvlLbl val="0"/>
      </c:catAx>
      <c:valAx>
        <c:axId val="441927840"/>
        <c:scaling>
          <c:orientation val="minMax"/>
          <c:max val="10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7448"/>
        <c:crosses val="autoZero"/>
        <c:crossBetween val="between"/>
        <c:majorUnit val="8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Cobre (Cu) </a:t>
            </a:r>
          </a:p>
        </c:rich>
      </c:tx>
      <c:overlay val="0"/>
      <c:spPr>
        <a:solidFill>
          <a:srgbClr val="99FFC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SETIEMBRE!$B$18</c:f>
              <c:strCache>
                <c:ptCount val="1"/>
                <c:pt idx="0">
                  <c:v>Cobre (Cu)</c:v>
                </c:pt>
              </c:strCache>
            </c:strRef>
          </c:tx>
          <c:spPr>
            <a:ln w="28575">
              <a:solidFill>
                <a:srgbClr val="99FFCC"/>
              </a:solidFill>
            </a:ln>
          </c:spPr>
          <c:marker>
            <c:symbol val="none"/>
          </c:marker>
          <c:dLbls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SETIEMBRE!$F$18:$L$18</c:f>
              <c:numCache>
                <c:formatCode>0.0</c:formatCode>
                <c:ptCount val="7"/>
                <c:pt idx="0">
                  <c:v>0.26300000000000001</c:v>
                </c:pt>
                <c:pt idx="1">
                  <c:v>0.36399999999999999</c:v>
                </c:pt>
                <c:pt idx="2">
                  <c:v>0.33</c:v>
                </c:pt>
                <c:pt idx="3">
                  <c:v>0.28999999999999998</c:v>
                </c:pt>
                <c:pt idx="4">
                  <c:v>0.29699999999999999</c:v>
                </c:pt>
                <c:pt idx="5">
                  <c:v>0.21</c:v>
                </c:pt>
                <c:pt idx="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9-4B81-BD21-E3C13E7108DE}"/>
            </c:ext>
          </c:extLst>
        </c:ser>
        <c:ser>
          <c:idx val="2"/>
          <c:order val="1"/>
          <c:tx>
            <c:strRef>
              <c:f>SETIEMBRE!$B$26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79-4B81-BD21-E3C13E7108DE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SETIEMBRE!$F$26:$L$26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9-4B81-BD21-E3C13E7108DE}"/>
            </c:ext>
          </c:extLst>
        </c:ser>
        <c:ser>
          <c:idx val="3"/>
          <c:order val="2"/>
          <c:tx>
            <c:strRef>
              <c:f>SETIEMBRE!$B$27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79-4B81-BD21-E3C13E7108DE}"/>
                </c:ext>
              </c:extLst>
            </c:dLbl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SETIEMBRE!$F$27:$L$27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9-4B81-BD21-E3C13E71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28624"/>
        <c:axId val="441929016"/>
      </c:lineChart>
      <c:catAx>
        <c:axId val="4419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9016"/>
        <c:crosses val="autoZero"/>
        <c:auto val="1"/>
        <c:lblAlgn val="ctr"/>
        <c:lblOffset val="100"/>
        <c:noMultiLvlLbl val="0"/>
      </c:catAx>
      <c:valAx>
        <c:axId val="441929016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28624"/>
        <c:crosses val="autoZero"/>
        <c:crossBetween val="between"/>
        <c:min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OCTUBRE!$B$10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OCTUBRE!$F$10:$L$10</c:f>
              <c:numCache>
                <c:formatCode>0.0</c:formatCode>
                <c:ptCount val="7"/>
                <c:pt idx="0">
                  <c:v>6.76</c:v>
                </c:pt>
                <c:pt idx="1">
                  <c:v>6.88</c:v>
                </c:pt>
                <c:pt idx="2">
                  <c:v>6.9</c:v>
                </c:pt>
                <c:pt idx="3">
                  <c:v>6.84</c:v>
                </c:pt>
                <c:pt idx="4">
                  <c:v>6.95</c:v>
                </c:pt>
                <c:pt idx="5">
                  <c:v>7.2</c:v>
                </c:pt>
                <c:pt idx="6">
                  <c:v>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9-40E7-B1FD-6F1EB0D8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30192"/>
        <c:axId val="441930584"/>
      </c:lineChart>
      <c:catAx>
        <c:axId val="4419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0584"/>
        <c:crosses val="autoZero"/>
        <c:auto val="1"/>
        <c:lblAlgn val="ctr"/>
        <c:lblOffset val="100"/>
        <c:noMultiLvlLbl val="0"/>
      </c:catAx>
      <c:valAx>
        <c:axId val="441930584"/>
        <c:scaling>
          <c:orientation val="minMax"/>
          <c:max val="7.5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01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OCTUBRE!$B$11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OCTUBRE!$F$11:$L$11</c:f>
              <c:numCache>
                <c:formatCode>_ * #,##0_ ;_ * \-#,##0_ ;_ * "-"??_ ;_ @_ </c:formatCode>
                <c:ptCount val="7"/>
                <c:pt idx="0">
                  <c:v>1951</c:v>
                </c:pt>
                <c:pt idx="1">
                  <c:v>1060</c:v>
                </c:pt>
                <c:pt idx="2">
                  <c:v>1522</c:v>
                </c:pt>
                <c:pt idx="3">
                  <c:v>1358</c:v>
                </c:pt>
                <c:pt idx="4">
                  <c:v>1206</c:v>
                </c:pt>
                <c:pt idx="5">
                  <c:v>297</c:v>
                </c:pt>
                <c:pt idx="6" formatCode="0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0-48B2-992B-60D0BAB4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1368"/>
        <c:axId val="441931760"/>
      </c:lineChart>
      <c:catAx>
        <c:axId val="44193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1760"/>
        <c:crosses val="autoZero"/>
        <c:auto val="1"/>
        <c:lblAlgn val="ctr"/>
        <c:lblOffset val="100"/>
        <c:noMultiLvlLbl val="0"/>
      </c:catAx>
      <c:valAx>
        <c:axId val="441931760"/>
        <c:scaling>
          <c:orientation val="minMax"/>
          <c:max val="2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1368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Sulfatos  (SO₄²-)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OCTUBRE!$B$16</c:f>
              <c:strCache>
                <c:ptCount val="1"/>
                <c:pt idx="0">
                  <c:v>Sulfatos  (SO₄²-)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OCTUBRE!$F$16:$L$16</c:f>
              <c:numCache>
                <c:formatCode>General</c:formatCode>
                <c:ptCount val="7"/>
                <c:pt idx="0">
                  <c:v>200</c:v>
                </c:pt>
                <c:pt idx="1">
                  <c:v>150</c:v>
                </c:pt>
                <c:pt idx="2">
                  <c:v>190</c:v>
                </c:pt>
                <c:pt idx="3">
                  <c:v>195</c:v>
                </c:pt>
                <c:pt idx="4">
                  <c:v>230</c:v>
                </c:pt>
                <c:pt idx="5">
                  <c:v>100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1-4C31-89C9-333A9E4E543F}"/>
            </c:ext>
          </c:extLst>
        </c:ser>
        <c:ser>
          <c:idx val="2"/>
          <c:order val="1"/>
          <c:tx>
            <c:strRef>
              <c:f>OCTUBRE!$B$24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21-4C31-89C9-333A9E4E543F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OCTUBRE!$F$24:$L$24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1-4C31-89C9-333A9E4E5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2936"/>
        <c:axId val="441933328"/>
      </c:lineChart>
      <c:catAx>
        <c:axId val="4419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3328"/>
        <c:crosses val="autoZero"/>
        <c:auto val="1"/>
        <c:lblAlgn val="ctr"/>
        <c:lblOffset val="100"/>
        <c:noMultiLvlLbl val="0"/>
      </c:catAx>
      <c:valAx>
        <c:axId val="441933328"/>
        <c:scaling>
          <c:orientation val="minMax"/>
          <c:max val="10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2936"/>
        <c:crosses val="autoZero"/>
        <c:crossBetween val="between"/>
        <c:majorUnit val="8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Cobre (Cu) </a:t>
            </a:r>
          </a:p>
        </c:rich>
      </c:tx>
      <c:overlay val="0"/>
      <c:spPr>
        <a:solidFill>
          <a:srgbClr val="99FFC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OCTUBRE!$B$18</c:f>
              <c:strCache>
                <c:ptCount val="1"/>
                <c:pt idx="0">
                  <c:v>Cobre (Cu)</c:v>
                </c:pt>
              </c:strCache>
            </c:strRef>
          </c:tx>
          <c:spPr>
            <a:ln w="28575">
              <a:solidFill>
                <a:srgbClr val="99FFCC"/>
              </a:solidFill>
            </a:ln>
          </c:spPr>
          <c:marker>
            <c:symbol val="none"/>
          </c:marker>
          <c:dLbls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OCTUBRE!$F$18:$L$18</c:f>
              <c:numCache>
                <c:formatCode>0.0</c:formatCode>
                <c:ptCount val="7"/>
                <c:pt idx="0">
                  <c:v>0.51</c:v>
                </c:pt>
                <c:pt idx="1">
                  <c:v>0.62</c:v>
                </c:pt>
                <c:pt idx="2">
                  <c:v>0.39300000000000002</c:v>
                </c:pt>
                <c:pt idx="3">
                  <c:v>0.6</c:v>
                </c:pt>
                <c:pt idx="4">
                  <c:v>0.21</c:v>
                </c:pt>
                <c:pt idx="5">
                  <c:v>0.38100000000000001</c:v>
                </c:pt>
                <c:pt idx="6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9-4838-85A1-7AC4B9C90AA1}"/>
            </c:ext>
          </c:extLst>
        </c:ser>
        <c:ser>
          <c:idx val="2"/>
          <c:order val="1"/>
          <c:tx>
            <c:strRef>
              <c:f>OCTUBRE!$B$26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59-4838-85A1-7AC4B9C90AA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OCTUBRE!$F$26:$L$26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9-4838-85A1-7AC4B9C90AA1}"/>
            </c:ext>
          </c:extLst>
        </c:ser>
        <c:ser>
          <c:idx val="3"/>
          <c:order val="2"/>
          <c:tx>
            <c:strRef>
              <c:f>OCTUBRE!$B$27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59-4838-85A1-7AC4B9C90AA1}"/>
                </c:ext>
              </c:extLst>
            </c:dLbl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OCTUBRE!$F$27:$L$27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9-4838-85A1-7AC4B9C90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3720"/>
        <c:axId val="441934112"/>
      </c:lineChart>
      <c:catAx>
        <c:axId val="44193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4112"/>
        <c:crosses val="autoZero"/>
        <c:auto val="1"/>
        <c:lblAlgn val="ctr"/>
        <c:lblOffset val="100"/>
        <c:noMultiLvlLbl val="0"/>
      </c:catAx>
      <c:valAx>
        <c:axId val="441934112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3720"/>
        <c:crosses val="autoZero"/>
        <c:crossBetween val="between"/>
        <c:min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OCTUBRE!$B$12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52814249714502E-2"/>
                  <c:y val="-4.236540394411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E2-4385-BB0F-0CF190F8A890}"/>
                </c:ext>
              </c:extLst>
            </c:dLbl>
            <c:dLbl>
              <c:idx val="1"/>
              <c:layout>
                <c:manualLayout>
                  <c:x val="-3.3652814249714481E-2"/>
                  <c:y val="3.389232315529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E2-4385-BB0F-0CF190F8A890}"/>
                </c:ext>
              </c:extLst>
            </c:dLbl>
            <c:dLbl>
              <c:idx val="2"/>
              <c:layout>
                <c:manualLayout>
                  <c:x val="-3.8830170288132092E-2"/>
                  <c:y val="2.541924236647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E2-4385-BB0F-0CF190F8A890}"/>
                </c:ext>
              </c:extLst>
            </c:dLbl>
            <c:dLbl>
              <c:idx val="3"/>
              <c:layout>
                <c:manualLayout>
                  <c:x val="-4.6596204345758563E-2"/>
                  <c:y val="-1.69461615776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E2-4385-BB0F-0CF190F8A890}"/>
                </c:ext>
              </c:extLst>
            </c:dLbl>
            <c:dLbl>
              <c:idx val="4"/>
              <c:layout>
                <c:manualLayout>
                  <c:x val="-2.8475458211296965E-2"/>
                  <c:y val="-8.47308078882380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E2-4385-BB0F-0CF190F8A890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OCTUBRE!$F$12:$L$12</c:f>
              <c:numCache>
                <c:formatCode>0.0</c:formatCode>
                <c:ptCount val="7"/>
                <c:pt idx="0">
                  <c:v>24.8</c:v>
                </c:pt>
                <c:pt idx="1">
                  <c:v>23.8</c:v>
                </c:pt>
                <c:pt idx="2">
                  <c:v>24.5</c:v>
                </c:pt>
                <c:pt idx="3">
                  <c:v>24.6</c:v>
                </c:pt>
                <c:pt idx="4">
                  <c:v>24.2</c:v>
                </c:pt>
                <c:pt idx="5">
                  <c:v>22</c:v>
                </c:pt>
                <c:pt idx="6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E2-4385-BB0F-0CF190F8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34896"/>
        <c:axId val="441935288"/>
      </c:lineChart>
      <c:catAx>
        <c:axId val="44193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5288"/>
        <c:crosses val="autoZero"/>
        <c:auto val="1"/>
        <c:lblAlgn val="ctr"/>
        <c:lblOffset val="100"/>
        <c:noMultiLvlLbl val="0"/>
      </c:catAx>
      <c:valAx>
        <c:axId val="441935288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4896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F0"/>
        </a:solidFill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OCTUBRE!$B$13</c:f>
              <c:strCache>
                <c:ptCount val="1"/>
                <c:pt idx="0">
                  <c:v>Turbidez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9464412908828E-2"/>
                  <c:y val="-4.550625711035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9-4EF8-A6ED-CFBFCFA9ED0F}"/>
                </c:ext>
              </c:extLst>
            </c:dLbl>
            <c:dLbl>
              <c:idx val="1"/>
              <c:layout>
                <c:manualLayout>
                  <c:x val="-4.9121302746619779E-2"/>
                  <c:y val="-5.0056882821388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9-4EF8-A6ED-CFBFCFA9ED0F}"/>
                </c:ext>
              </c:extLst>
            </c:dLbl>
            <c:dLbl>
              <c:idx val="2"/>
              <c:layout>
                <c:manualLayout>
                  <c:x val="-4.6535971023113479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9-4EF8-A6ED-CFBFCFA9ED0F}"/>
                </c:ext>
              </c:extLst>
            </c:dLbl>
            <c:dLbl>
              <c:idx val="3"/>
              <c:layout>
                <c:manualLayout>
                  <c:x val="-4.9121302746619779E-2"/>
                  <c:y val="-3.6405005688282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9-4EF8-A6ED-CFBFCFA9ED0F}"/>
                </c:ext>
              </c:extLst>
            </c:dLbl>
            <c:dLbl>
              <c:idx val="4"/>
              <c:layout>
                <c:manualLayout>
                  <c:x val="-4.7163279116848186E-2"/>
                  <c:y val="-4.039481944064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9-4EF8-A6ED-CFBFCFA9ED0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OCTUBRE!$F$13:$L$13</c:f>
              <c:numCache>
                <c:formatCode>General</c:formatCode>
                <c:ptCount val="7"/>
                <c:pt idx="0">
                  <c:v>18.04</c:v>
                </c:pt>
                <c:pt idx="1">
                  <c:v>10.08</c:v>
                </c:pt>
                <c:pt idx="2">
                  <c:v>25.6</c:v>
                </c:pt>
                <c:pt idx="3">
                  <c:v>23.8</c:v>
                </c:pt>
                <c:pt idx="4">
                  <c:v>27.9</c:v>
                </c:pt>
                <c:pt idx="5">
                  <c:v>101</c:v>
                </c:pt>
                <c:pt idx="6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9-4EF8-A6ED-CFBFCFA9E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36072"/>
        <c:axId val="441936464"/>
      </c:lineChart>
      <c:catAx>
        <c:axId val="44193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6464"/>
        <c:crosses val="autoZero"/>
        <c:auto val="1"/>
        <c:lblAlgn val="ctr"/>
        <c:lblOffset val="100"/>
        <c:noMultiLvlLbl val="0"/>
      </c:catAx>
      <c:valAx>
        <c:axId val="441936464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607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Conductividad Eléctrica (µS/cm)</a:t>
            </a:r>
          </a:p>
        </c:rich>
      </c:tx>
      <c:overlay val="0"/>
      <c:spPr>
        <a:solidFill>
          <a:srgbClr val="FF9933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OCTUBRE!$B$9</c:f>
              <c:strCache>
                <c:ptCount val="1"/>
                <c:pt idx="0">
                  <c:v>Conductividad Eléctrica</c:v>
                </c:pt>
              </c:strCache>
            </c:strRef>
          </c:tx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OCTUBRE!$F$9:$L$9</c:f>
              <c:numCache>
                <c:formatCode>_ * #,##0_ ;_ * \-#,##0_ ;_ * "-"??_ ;_ @_ </c:formatCode>
                <c:ptCount val="7"/>
                <c:pt idx="0">
                  <c:v>3770</c:v>
                </c:pt>
                <c:pt idx="1">
                  <c:v>2098</c:v>
                </c:pt>
                <c:pt idx="2">
                  <c:v>2970</c:v>
                </c:pt>
                <c:pt idx="3">
                  <c:v>2700</c:v>
                </c:pt>
                <c:pt idx="4">
                  <c:v>2380</c:v>
                </c:pt>
                <c:pt idx="5">
                  <c:v>515</c:v>
                </c:pt>
                <c:pt idx="6" formatCode="0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2-41B2-A17E-67D4F1354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7248"/>
        <c:axId val="441937640"/>
      </c:lineChart>
      <c:catAx>
        <c:axId val="44193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7640"/>
        <c:crosses val="autoZero"/>
        <c:auto val="1"/>
        <c:lblAlgn val="ctr"/>
        <c:lblOffset val="100"/>
        <c:noMultiLvlLbl val="0"/>
      </c:catAx>
      <c:valAx>
        <c:axId val="44193764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7248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OCTUBRE!$B$17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529955862228757E-3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67-4AA2-A6AD-316F97A8DE3B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67-4AA2-A6AD-316F97A8DE3B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67-4AA2-A6AD-316F97A8DE3B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67-4AA2-A6AD-316F97A8DE3B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67-4AA2-A6AD-316F97A8DE3B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67-4AA2-A6AD-316F97A8DE3B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OCTUBRE!$F$17:$L$17</c:f>
              <c:numCache>
                <c:formatCode>General</c:formatCode>
                <c:ptCount val="7"/>
                <c:pt idx="0">
                  <c:v>12.4</c:v>
                </c:pt>
                <c:pt idx="1">
                  <c:v>11.6</c:v>
                </c:pt>
                <c:pt idx="2" formatCode="0.0">
                  <c:v>12.6</c:v>
                </c:pt>
                <c:pt idx="3" formatCode="0.0">
                  <c:v>12.3</c:v>
                </c:pt>
                <c:pt idx="4">
                  <c:v>13.7</c:v>
                </c:pt>
                <c:pt idx="5">
                  <c:v>10.3</c:v>
                </c:pt>
                <c:pt idx="6" formatCode="0.0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67-4AA2-A6AD-316F97A8DE3B}"/>
            </c:ext>
          </c:extLst>
        </c:ser>
        <c:ser>
          <c:idx val="2"/>
          <c:order val="1"/>
          <c:tx>
            <c:strRef>
              <c:f>OCTUBRE!$B$25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67-4AA2-A6AD-316F97A8DE3B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OCTUBRE!$F$25:$L$25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67-4AA2-A6AD-316F97A8D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8424"/>
        <c:axId val="441938816"/>
      </c:lineChart>
      <c:catAx>
        <c:axId val="44193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8816"/>
        <c:crosses val="autoZero"/>
        <c:auto val="1"/>
        <c:lblAlgn val="ctr"/>
        <c:lblOffset val="100"/>
        <c:noMultiLvlLbl val="0"/>
      </c:catAx>
      <c:valAx>
        <c:axId val="441938816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8424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Cobre (Cu) </a:t>
            </a:r>
          </a:p>
        </c:rich>
      </c:tx>
      <c:overlay val="0"/>
      <c:spPr>
        <a:solidFill>
          <a:srgbClr val="99FFC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NOVIEMBRE!$B$18</c:f>
              <c:strCache>
                <c:ptCount val="1"/>
                <c:pt idx="0">
                  <c:v>Cobre (Cu)</c:v>
                </c:pt>
              </c:strCache>
            </c:strRef>
          </c:tx>
          <c:spPr>
            <a:ln w="28575">
              <a:solidFill>
                <a:srgbClr val="99FFCC"/>
              </a:solidFill>
            </a:ln>
          </c:spPr>
          <c:marker>
            <c:symbol val="none"/>
          </c:marker>
          <c:dLbls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NOVIEMBRE!$F$18:$L$18</c:f>
              <c:numCache>
                <c:formatCode>0.0</c:formatCode>
                <c:ptCount val="7"/>
                <c:pt idx="0">
                  <c:v>1.38</c:v>
                </c:pt>
                <c:pt idx="1">
                  <c:v>1.7</c:v>
                </c:pt>
                <c:pt idx="2">
                  <c:v>1.92</c:v>
                </c:pt>
                <c:pt idx="3">
                  <c:v>1.69</c:v>
                </c:pt>
                <c:pt idx="4">
                  <c:v>1.1100000000000001</c:v>
                </c:pt>
                <c:pt idx="5">
                  <c:v>0.11</c:v>
                </c:pt>
                <c:pt idx="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F-43EB-8C5B-74CBE7C11123}"/>
            </c:ext>
          </c:extLst>
        </c:ser>
        <c:ser>
          <c:idx val="2"/>
          <c:order val="1"/>
          <c:tx>
            <c:strRef>
              <c:f>NOVIEMBRE!$B$32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3F-43EB-8C5B-74CBE7C11123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NOVIEMBRE!$F$32:$L$32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F-43EB-8C5B-74CBE7C11123}"/>
            </c:ext>
          </c:extLst>
        </c:ser>
        <c:ser>
          <c:idx val="3"/>
          <c:order val="2"/>
          <c:tx>
            <c:strRef>
              <c:f>NOVIEMBRE!$B$33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3F-43EB-8C5B-74CBE7C11123}"/>
                </c:ext>
              </c:extLst>
            </c:dLbl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NOVIEMBRE!$F$33:$L$33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3F-43EB-8C5B-74CBE7C1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39992"/>
        <c:axId val="441940384"/>
      </c:lineChart>
      <c:catAx>
        <c:axId val="44193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40384"/>
        <c:crosses val="autoZero"/>
        <c:auto val="1"/>
        <c:lblAlgn val="ctr"/>
        <c:lblOffset val="100"/>
        <c:noMultiLvlLbl val="0"/>
      </c:catAx>
      <c:valAx>
        <c:axId val="441940384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39992"/>
        <c:crosses val="autoZero"/>
        <c:crossBetween val="between"/>
        <c:min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F0"/>
        </a:solidFill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NOVIEMBRE!$B$13</c:f>
              <c:strCache>
                <c:ptCount val="1"/>
                <c:pt idx="0">
                  <c:v>Turbidez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9464412908828E-2"/>
                  <c:y val="-4.550625711035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1E-4B67-8479-BBF345FFB84D}"/>
                </c:ext>
              </c:extLst>
            </c:dLbl>
            <c:dLbl>
              <c:idx val="1"/>
              <c:layout>
                <c:manualLayout>
                  <c:x val="-4.9121302746619779E-2"/>
                  <c:y val="-5.0056882821388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1E-4B67-8479-BBF345FFB84D}"/>
                </c:ext>
              </c:extLst>
            </c:dLbl>
            <c:dLbl>
              <c:idx val="2"/>
              <c:layout>
                <c:manualLayout>
                  <c:x val="-4.6535971023113479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1E-4B67-8479-BBF345FFB84D}"/>
                </c:ext>
              </c:extLst>
            </c:dLbl>
            <c:dLbl>
              <c:idx val="3"/>
              <c:layout>
                <c:manualLayout>
                  <c:x val="-4.9121302746619779E-2"/>
                  <c:y val="-3.6405005688282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1E-4B67-8479-BBF345FFB84D}"/>
                </c:ext>
              </c:extLst>
            </c:dLbl>
            <c:dLbl>
              <c:idx val="4"/>
              <c:layout>
                <c:manualLayout>
                  <c:x val="-4.7163279116848186E-2"/>
                  <c:y val="-4.039481944064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1E-4B67-8479-BBF345FFB84D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NOVIEMBRE!$F$13:$L$13</c:f>
              <c:numCache>
                <c:formatCode>General</c:formatCode>
                <c:ptCount val="7"/>
                <c:pt idx="0">
                  <c:v>11.3</c:v>
                </c:pt>
                <c:pt idx="1">
                  <c:v>13.3</c:v>
                </c:pt>
                <c:pt idx="2">
                  <c:v>20.9</c:v>
                </c:pt>
                <c:pt idx="3">
                  <c:v>18.8</c:v>
                </c:pt>
                <c:pt idx="4">
                  <c:v>29.7</c:v>
                </c:pt>
                <c:pt idx="5">
                  <c:v>153</c:v>
                </c:pt>
                <c:pt idx="6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E-4B67-8479-BBF345F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41168"/>
        <c:axId val="441941560"/>
      </c:lineChart>
      <c:catAx>
        <c:axId val="4419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41560"/>
        <c:crosses val="autoZero"/>
        <c:auto val="1"/>
        <c:lblAlgn val="ctr"/>
        <c:lblOffset val="100"/>
        <c:noMultiLvlLbl val="0"/>
      </c:catAx>
      <c:valAx>
        <c:axId val="441941560"/>
        <c:scaling>
          <c:orientation val="minMax"/>
          <c:max val="2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941168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Manganeso (Mn)</a:t>
            </a:r>
          </a:p>
        </c:rich>
      </c:tx>
      <c:overlay val="0"/>
      <c:spPr>
        <a:solidFill>
          <a:srgbClr val="00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NOVIEMBRE!$B$20</c:f>
              <c:strCache>
                <c:ptCount val="1"/>
                <c:pt idx="0">
                  <c:v>Manganeso (Mn)</c:v>
                </c:pt>
              </c:strCache>
            </c:strRef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dLbls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NOVIEMBRE!$F$20:$L$20</c:f>
              <c:numCache>
                <c:formatCode>0.0</c:formatCode>
                <c:ptCount val="7"/>
                <c:pt idx="0">
                  <c:v>2.9</c:v>
                </c:pt>
                <c:pt idx="1">
                  <c:v>1.1000000000000001</c:v>
                </c:pt>
                <c:pt idx="2">
                  <c:v>0.2</c:v>
                </c:pt>
                <c:pt idx="3">
                  <c:v>0.4</c:v>
                </c:pt>
                <c:pt idx="4">
                  <c:v>1.2</c:v>
                </c:pt>
                <c:pt idx="5">
                  <c:v>0.4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D3-4D00-9F48-8A83B320EED1}"/>
            </c:ext>
          </c:extLst>
        </c:ser>
        <c:ser>
          <c:idx val="2"/>
          <c:order val="1"/>
          <c:tx>
            <c:strRef>
              <c:f>NOVIEMBRE!$B$35</c:f>
              <c:strCache>
                <c:ptCount val="1"/>
                <c:pt idx="0">
                  <c:v>LMP-DS N° 004-2017  - RIEGO Y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D3-4D00-9F48-8A83B320EED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NOVIEMBRE!$F$35:$L$35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D3-4D00-9F48-8A83B320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45104"/>
        <c:axId val="500145496"/>
      </c:lineChart>
      <c:catAx>
        <c:axId val="5001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5496"/>
        <c:crosses val="autoZero"/>
        <c:auto val="1"/>
        <c:lblAlgn val="ctr"/>
        <c:lblOffset val="100"/>
        <c:noMultiLvlLbl val="0"/>
      </c:catAx>
      <c:valAx>
        <c:axId val="50014549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5104"/>
        <c:crosses val="autoZero"/>
        <c:crossBetween val="between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Conductividad Eléctrica (µS/cm)</a:t>
            </a:r>
          </a:p>
        </c:rich>
      </c:tx>
      <c:overlay val="0"/>
      <c:spPr>
        <a:solidFill>
          <a:srgbClr val="FF9933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NOVIEMBRE!$B$9</c:f>
              <c:strCache>
                <c:ptCount val="1"/>
                <c:pt idx="0">
                  <c:v>Conductividad Eléctrica</c:v>
                </c:pt>
              </c:strCache>
            </c:strRef>
          </c:tx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NOVIEMBRE!$F$9:$L$9</c:f>
              <c:numCache>
                <c:formatCode>_ * #,##0_ ;_ * \-#,##0_ ;_ * "-"??_ ;_ @_ </c:formatCode>
                <c:ptCount val="7"/>
                <c:pt idx="0">
                  <c:v>3360</c:v>
                </c:pt>
                <c:pt idx="1">
                  <c:v>2170</c:v>
                </c:pt>
                <c:pt idx="2">
                  <c:v>2890</c:v>
                </c:pt>
                <c:pt idx="3">
                  <c:v>2690</c:v>
                </c:pt>
                <c:pt idx="4">
                  <c:v>2290</c:v>
                </c:pt>
                <c:pt idx="5">
                  <c:v>400</c:v>
                </c:pt>
                <c:pt idx="6" formatCode="0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C-45F6-B8D6-7BF6D145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46280"/>
        <c:axId val="500146672"/>
      </c:lineChart>
      <c:catAx>
        <c:axId val="50014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6672"/>
        <c:crosses val="autoZero"/>
        <c:auto val="1"/>
        <c:lblAlgn val="ctr"/>
        <c:lblOffset val="100"/>
        <c:noMultiLvlLbl val="0"/>
      </c:catAx>
      <c:valAx>
        <c:axId val="500146672"/>
        <c:scaling>
          <c:orientation val="minMax"/>
          <c:max val="3400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6280"/>
        <c:crosses val="autoZero"/>
        <c:crossBetween val="between"/>
        <c:majorUnit val="5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5334040725013101"/>
          <c:y val="0.19020064522202593"/>
          <c:w val="0.68768305285276699"/>
          <c:h val="0.62593099165773547"/>
        </c:manualLayout>
      </c:layout>
      <c:lineChart>
        <c:grouping val="standard"/>
        <c:varyColors val="0"/>
        <c:ser>
          <c:idx val="0"/>
          <c:order val="0"/>
          <c:tx>
            <c:strRef>
              <c:f>NOVIEMBRE!$B$10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NOVIEMBRE!$F$10:$L$10</c:f>
              <c:numCache>
                <c:formatCode>0.0</c:formatCode>
                <c:ptCount val="7"/>
                <c:pt idx="0">
                  <c:v>7.87</c:v>
                </c:pt>
                <c:pt idx="1">
                  <c:v>7.54</c:v>
                </c:pt>
                <c:pt idx="2">
                  <c:v>7.23</c:v>
                </c:pt>
                <c:pt idx="3">
                  <c:v>7.54</c:v>
                </c:pt>
                <c:pt idx="4">
                  <c:v>7.84</c:v>
                </c:pt>
                <c:pt idx="5">
                  <c:v>8.25</c:v>
                </c:pt>
                <c:pt idx="6">
                  <c:v>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5-4FD8-B1C3-E1741C6AD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47456"/>
        <c:axId val="500147848"/>
      </c:lineChart>
      <c:catAx>
        <c:axId val="50014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7848"/>
        <c:crosses val="autoZero"/>
        <c:auto val="1"/>
        <c:lblAlgn val="ctr"/>
        <c:lblOffset val="100"/>
        <c:noMultiLvlLbl val="0"/>
      </c:catAx>
      <c:valAx>
        <c:axId val="500147848"/>
        <c:scaling>
          <c:orientation val="minMax"/>
          <c:max val="8.5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7456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NOVIEMBRE!$B$11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NOVIEMBRE!$F$11:$L$11</c:f>
              <c:numCache>
                <c:formatCode>_ * #,##0_ ;_ * \-#,##0_ ;_ * "-"??_ ;_ @_ </c:formatCode>
                <c:ptCount val="7"/>
                <c:pt idx="0">
                  <c:v>1728</c:v>
                </c:pt>
                <c:pt idx="1">
                  <c:v>1100</c:v>
                </c:pt>
                <c:pt idx="2">
                  <c:v>1470</c:v>
                </c:pt>
                <c:pt idx="3">
                  <c:v>1371</c:v>
                </c:pt>
                <c:pt idx="4">
                  <c:v>1162</c:v>
                </c:pt>
                <c:pt idx="5">
                  <c:v>194.5</c:v>
                </c:pt>
                <c:pt idx="6" formatCode="0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5-4671-9A60-C5A916D0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48632"/>
        <c:axId val="500149024"/>
      </c:lineChart>
      <c:catAx>
        <c:axId val="50014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9024"/>
        <c:crosses val="autoZero"/>
        <c:auto val="1"/>
        <c:lblAlgn val="ctr"/>
        <c:lblOffset val="100"/>
        <c:noMultiLvlLbl val="0"/>
      </c:catAx>
      <c:valAx>
        <c:axId val="500149024"/>
        <c:scaling>
          <c:orientation val="minMax"/>
          <c:max val="20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8632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NOVIEMBRE!$B$12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52814249714502E-2"/>
                  <c:y val="-4.236540394411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E0-4908-9E2B-24EC1636DC34}"/>
                </c:ext>
              </c:extLst>
            </c:dLbl>
            <c:dLbl>
              <c:idx val="1"/>
              <c:layout>
                <c:manualLayout>
                  <c:x val="-3.3652814249714481E-2"/>
                  <c:y val="3.389232315529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E0-4908-9E2B-24EC1636DC34}"/>
                </c:ext>
              </c:extLst>
            </c:dLbl>
            <c:dLbl>
              <c:idx val="2"/>
              <c:layout>
                <c:manualLayout>
                  <c:x val="-3.8830170288132092E-2"/>
                  <c:y val="2.541924236647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E0-4908-9E2B-24EC1636DC34}"/>
                </c:ext>
              </c:extLst>
            </c:dLbl>
            <c:dLbl>
              <c:idx val="3"/>
              <c:layout>
                <c:manualLayout>
                  <c:x val="-4.6596204345758563E-2"/>
                  <c:y val="-1.69461615776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E0-4908-9E2B-24EC1636DC34}"/>
                </c:ext>
              </c:extLst>
            </c:dLbl>
            <c:dLbl>
              <c:idx val="4"/>
              <c:layout>
                <c:manualLayout>
                  <c:x val="-2.8475458211296965E-2"/>
                  <c:y val="-8.47308078882380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E0-4908-9E2B-24EC1636DC3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NOVIEMBRE!$F$12:$L$12</c:f>
              <c:numCache>
                <c:formatCode>0.0</c:formatCode>
                <c:ptCount val="7"/>
                <c:pt idx="0">
                  <c:v>26.6</c:v>
                </c:pt>
                <c:pt idx="1">
                  <c:v>26.4</c:v>
                </c:pt>
                <c:pt idx="2">
                  <c:v>26.5</c:v>
                </c:pt>
                <c:pt idx="3">
                  <c:v>26.5</c:v>
                </c:pt>
                <c:pt idx="4">
                  <c:v>26.8</c:v>
                </c:pt>
                <c:pt idx="5">
                  <c:v>22.8</c:v>
                </c:pt>
                <c:pt idx="6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E0-4908-9E2B-24EC1636D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49808"/>
        <c:axId val="500150200"/>
      </c:lineChart>
      <c:catAx>
        <c:axId val="500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0200"/>
        <c:crosses val="autoZero"/>
        <c:auto val="1"/>
        <c:lblAlgn val="ctr"/>
        <c:lblOffset val="100"/>
        <c:noMultiLvlLbl val="0"/>
      </c:catAx>
      <c:valAx>
        <c:axId val="500150200"/>
        <c:scaling>
          <c:orientation val="minMax"/>
          <c:max val="27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49808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Cloruros (Cl-)</a:t>
            </a:r>
          </a:p>
        </c:rich>
      </c:tx>
      <c:overlay val="0"/>
      <c:spPr>
        <a:solidFill>
          <a:srgbClr val="D2F8FE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NOVIEMBRE!$B$19</c:f>
              <c:strCache>
                <c:ptCount val="1"/>
                <c:pt idx="0">
                  <c:v>Cloruros (Cl-)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spPr>
              <a:solidFill>
                <a:srgbClr val="D2F8FE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NOVIEMBRE!$F$19:$L$19</c:f>
              <c:numCache>
                <c:formatCode>0</c:formatCode>
                <c:ptCount val="7"/>
                <c:pt idx="0">
                  <c:v>341.89398000000006</c:v>
                </c:pt>
                <c:pt idx="1">
                  <c:v>352.39072500000003</c:v>
                </c:pt>
                <c:pt idx="2">
                  <c:v>278.91350999999997</c:v>
                </c:pt>
                <c:pt idx="3">
                  <c:v>200.93769</c:v>
                </c:pt>
                <c:pt idx="4">
                  <c:v>182.94326999999998</c:v>
                </c:pt>
                <c:pt idx="5">
                  <c:v>71.977679999999992</c:v>
                </c:pt>
                <c:pt idx="6">
                  <c:v>38.987909999999999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E-42CE-8AF9-C53586FC8F27}"/>
            </c:ext>
          </c:extLst>
        </c:ser>
        <c:ser>
          <c:idx val="2"/>
          <c:order val="1"/>
          <c:tx>
            <c:strRef>
              <c:f>NOVIEMBRE!$B$34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0E-42CE-8AF9-C53586FC8F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NOVIEMBRE!$F$34:$L$34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E-42CE-8AF9-C53586FC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0984"/>
        <c:axId val="500151376"/>
      </c:lineChart>
      <c:catAx>
        <c:axId val="50015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1376"/>
        <c:crosses val="autoZero"/>
        <c:auto val="1"/>
        <c:lblAlgn val="ctr"/>
        <c:lblOffset val="100"/>
        <c:noMultiLvlLbl val="0"/>
      </c:catAx>
      <c:valAx>
        <c:axId val="500151376"/>
        <c:scaling>
          <c:orientation val="minMax"/>
          <c:max val="52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0984"/>
        <c:crosses val="autoZero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Nitritos(NO</a:t>
            </a:r>
            <a:r>
              <a:rPr lang="en-US" sz="1200" b="1">
                <a:solidFill>
                  <a:schemeClr val="bg1"/>
                </a:solidFill>
              </a:rPr>
              <a:t>2</a:t>
            </a:r>
            <a:r>
              <a:rPr lang="en-US" b="1">
                <a:solidFill>
                  <a:schemeClr val="bg1"/>
                </a:solidFill>
              </a:rPr>
              <a:t>-)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NOVIEMBRE!$B$23</c:f>
              <c:strCache>
                <c:ptCount val="1"/>
                <c:pt idx="0">
                  <c:v>Nitritos(NO2-)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NOVIEMBRE!$F$23:$L$23</c:f>
              <c:numCache>
                <c:formatCode>0.0</c:formatCode>
                <c:ptCount val="7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89-4511-90F9-C56EBA20D5D2}"/>
            </c:ext>
          </c:extLst>
        </c:ser>
        <c:ser>
          <c:idx val="2"/>
          <c:order val="1"/>
          <c:tx>
            <c:strRef>
              <c:f>NOVIEMBRE!$B$36</c:f>
              <c:strCache>
                <c:ptCount val="1"/>
                <c:pt idx="0">
                  <c:v>LMP-DS N° 004-2017  - RIEGO Y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NOVIEMBRE!$F$36:$L$36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89-4511-90F9-C56EBA20D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2160"/>
        <c:axId val="500152552"/>
      </c:lineChart>
      <c:catAx>
        <c:axId val="50015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2552"/>
        <c:crosses val="autoZero"/>
        <c:auto val="1"/>
        <c:lblAlgn val="ctr"/>
        <c:lblOffset val="100"/>
        <c:noMultiLvlLbl val="0"/>
      </c:catAx>
      <c:valAx>
        <c:axId val="500152552"/>
        <c:scaling>
          <c:orientation val="minMax"/>
          <c:max val="11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2160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Hierro (Fe)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NOVIEMBRE!$B$21</c:f>
              <c:strCache>
                <c:ptCount val="1"/>
                <c:pt idx="0">
                  <c:v>Hierro (Fe)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0641399416909644E-2"/>
                  <c:y val="-3.4158838599487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F1-481B-9CC3-049FEBF3EEC7}"/>
                </c:ext>
              </c:extLst>
            </c:dLbl>
            <c:dLbl>
              <c:idx val="1"/>
              <c:layout>
                <c:manualLayout>
                  <c:x val="-4.1982507288629782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F1-481B-9CC3-049FEBF3EEC7}"/>
                </c:ext>
              </c:extLst>
            </c:dLbl>
            <c:dLbl>
              <c:idx val="2"/>
              <c:layout>
                <c:manualLayout>
                  <c:x val="-4.1982507288629782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F1-481B-9CC3-049FEBF3EEC7}"/>
                </c:ext>
              </c:extLst>
            </c:dLbl>
            <c:dLbl>
              <c:idx val="3"/>
              <c:layout>
                <c:manualLayout>
                  <c:x val="-3.9650145772594798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F1-481B-9CC3-049FEBF3EEC7}"/>
                </c:ext>
              </c:extLst>
            </c:dLbl>
            <c:dLbl>
              <c:idx val="4"/>
              <c:layout>
                <c:manualLayout>
                  <c:x val="-2.7988338192419825E-2"/>
                  <c:y val="-6.83176771989752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F1-481B-9CC3-049FEBF3EEC7}"/>
                </c:ext>
              </c:extLst>
            </c:dLbl>
            <c:dLbl>
              <c:idx val="5"/>
              <c:layout>
                <c:manualLayout>
                  <c:x val="-2.099125364431487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F1-481B-9CC3-049FEBF3EEC7}"/>
                </c:ext>
              </c:extLst>
            </c:dLbl>
            <c:dLbl>
              <c:idx val="6"/>
              <c:layout>
                <c:manualLayout>
                  <c:x val="-1.3994169096209912E-2"/>
                  <c:y val="-1.3663535439795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F1-481B-9CC3-049FEBF3EEC7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NOVIEMBRE!$F$21:$L$21</c:f>
              <c:numCache>
                <c:formatCode>0.000</c:formatCode>
                <c:ptCount val="7"/>
                <c:pt idx="0">
                  <c:v>0.161</c:v>
                </c:pt>
                <c:pt idx="1">
                  <c:v>0.23699999999999999</c:v>
                </c:pt>
                <c:pt idx="2">
                  <c:v>0.628</c:v>
                </c:pt>
                <c:pt idx="3">
                  <c:v>0.13800000000000001</c:v>
                </c:pt>
                <c:pt idx="4">
                  <c:v>0.10100000000000001</c:v>
                </c:pt>
                <c:pt idx="5">
                  <c:v>0.26</c:v>
                </c:pt>
                <c:pt idx="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1-481B-9CC3-049FEBF3EEC7}"/>
            </c:ext>
          </c:extLst>
        </c:ser>
        <c:ser>
          <c:idx val="2"/>
          <c:order val="1"/>
          <c:tx>
            <c:strRef>
              <c:f>NOVIEMBRE!$B$37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F1-481B-9CC3-049FEBF3EEC7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NOVIEMBRE!$F$37:$L$37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1-481B-9CC3-049FEBF3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3336"/>
        <c:axId val="500153728"/>
      </c:lineChart>
      <c:catAx>
        <c:axId val="50015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3728"/>
        <c:crosses val="autoZero"/>
        <c:auto val="1"/>
        <c:lblAlgn val="ctr"/>
        <c:lblOffset val="100"/>
        <c:noMultiLvlLbl val="0"/>
      </c:catAx>
      <c:valAx>
        <c:axId val="500153728"/>
        <c:scaling>
          <c:orientation val="minMax"/>
          <c:max val="5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3336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Cromo Hexavalente (Cr</a:t>
            </a:r>
            <a:r>
              <a:rPr lang="en-US" sz="1000" b="1">
                <a:solidFill>
                  <a:sysClr val="windowText" lastClr="000000"/>
                </a:solidFill>
              </a:rPr>
              <a:t>6</a:t>
            </a:r>
            <a:r>
              <a:rPr lang="en-US" sz="1200" b="1">
                <a:solidFill>
                  <a:sysClr val="windowText" lastClr="000000"/>
                </a:solidFill>
              </a:rPr>
              <a:t>+</a:t>
            </a:r>
            <a:r>
              <a:rPr lang="en-US" b="1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solidFill>
          <a:srgbClr val="F6D7F9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NOVIEMBRE!$B$22</c:f>
              <c:strCache>
                <c:ptCount val="1"/>
                <c:pt idx="0">
                  <c:v>Cromo Hexavalente (Cr6+)</c:v>
                </c:pt>
              </c:strCache>
            </c:strRef>
          </c:tx>
          <c:spPr>
            <a:ln>
              <a:solidFill>
                <a:srgbClr val="F6D7F9"/>
              </a:solidFill>
            </a:ln>
          </c:spPr>
          <c:marker>
            <c:symbol val="none"/>
          </c:marker>
          <c:dLbls>
            <c:spPr>
              <a:solidFill>
                <a:srgbClr val="F6D7F9"/>
              </a:solidFill>
              <a:ln>
                <a:solidFill>
                  <a:srgbClr val="F6D7F9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NOVIEMBRE!$F$22:$L$22</c:f>
              <c:numCache>
                <c:formatCode>0.000</c:formatCode>
                <c:ptCount val="7"/>
                <c:pt idx="0">
                  <c:v>2.3E-2</c:v>
                </c:pt>
                <c:pt idx="1">
                  <c:v>2.5000000000000001E-2</c:v>
                </c:pt>
                <c:pt idx="2">
                  <c:v>2.5999999999999999E-2</c:v>
                </c:pt>
                <c:pt idx="3">
                  <c:v>2.1000000000000001E-2</c:v>
                </c:pt>
                <c:pt idx="4">
                  <c:v>3.9E-2</c:v>
                </c:pt>
                <c:pt idx="5">
                  <c:v>2.5999999999999999E-2</c:v>
                </c:pt>
                <c:pt idx="6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4-4916-82E6-55EC3C57CC85}"/>
            </c:ext>
          </c:extLst>
        </c:ser>
        <c:ser>
          <c:idx val="2"/>
          <c:order val="1"/>
          <c:tx>
            <c:strRef>
              <c:f>NOVIEMBRE!$B$39</c:f>
              <c:strCache>
                <c:ptCount val="1"/>
                <c:pt idx="0">
                  <c:v>LMP-DS N° 004-2017  - RIEGO</c:v>
                </c:pt>
              </c:strCache>
            </c:strRef>
          </c:tx>
          <c:marker>
            <c:symbol val="none"/>
          </c:marker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NOVIEMBRE!$F$39:$L$39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4-4916-82E6-55EC3C57C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4512"/>
        <c:axId val="500154904"/>
      </c:lineChart>
      <c:catAx>
        <c:axId val="500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4904"/>
        <c:crosses val="autoZero"/>
        <c:auto val="1"/>
        <c:lblAlgn val="ctr"/>
        <c:lblOffset val="100"/>
        <c:noMultiLvlLbl val="0"/>
      </c:catAx>
      <c:valAx>
        <c:axId val="500154904"/>
        <c:scaling>
          <c:orientation val="minMax"/>
          <c:max val="0.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4512"/>
        <c:crosses val="autoZero"/>
        <c:crossBetween val="between"/>
        <c:majorUnit val="1.0000000000000002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Zinc (Zn)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NOVIEMBRE!$B$24</c:f>
              <c:strCache>
                <c:ptCount val="1"/>
                <c:pt idx="0">
                  <c:v>Zinc (Zn)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NOVIEMBRE!$F$24:$L$24</c:f>
              <c:numCache>
                <c:formatCode>0.00</c:formatCode>
                <c:ptCount val="7"/>
                <c:pt idx="0">
                  <c:v>0.12</c:v>
                </c:pt>
                <c:pt idx="1">
                  <c:v>0.11</c:v>
                </c:pt>
                <c:pt idx="2">
                  <c:v>0.09</c:v>
                </c:pt>
                <c:pt idx="3">
                  <c:v>0.1</c:v>
                </c:pt>
                <c:pt idx="4">
                  <c:v>0.16</c:v>
                </c:pt>
                <c:pt idx="5">
                  <c:v>0.12</c:v>
                </c:pt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E-4D69-B710-FCC7EB14C4C8}"/>
            </c:ext>
          </c:extLst>
        </c:ser>
        <c:ser>
          <c:idx val="2"/>
          <c:order val="1"/>
          <c:tx>
            <c:strRef>
              <c:f>NOVIEMBRE!$B$39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E-4D69-B710-FCC7EB14C4C8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NOVIEMBRE!$F$39:$L$39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E-4D69-B710-FCC7EB14C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5688"/>
        <c:axId val="500156080"/>
      </c:lineChart>
      <c:catAx>
        <c:axId val="50015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6080"/>
        <c:crosses val="autoZero"/>
        <c:auto val="1"/>
        <c:lblAlgn val="ctr"/>
        <c:lblOffset val="100"/>
        <c:noMultiLvlLbl val="0"/>
      </c:catAx>
      <c:valAx>
        <c:axId val="500156080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5688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NOVIEMBRE!$B$17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8529955862228757E-3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86-4126-B9A3-8AE9F066F9CA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86-4126-B9A3-8AE9F066F9CA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86-4126-B9A3-8AE9F066F9CA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86-4126-B9A3-8AE9F066F9CA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86-4126-B9A3-8AE9F066F9CA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86-4126-B9A3-8AE9F066F9CA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NOVIEMBRE!$F$17:$L$17</c:f>
              <c:numCache>
                <c:formatCode>General</c:formatCode>
                <c:ptCount val="7"/>
                <c:pt idx="0">
                  <c:v>10.8</c:v>
                </c:pt>
                <c:pt idx="1">
                  <c:v>10.199999999999999</c:v>
                </c:pt>
                <c:pt idx="2" formatCode="0.0">
                  <c:v>9.3000000000000007</c:v>
                </c:pt>
                <c:pt idx="3" formatCode="0.0">
                  <c:v>9.5</c:v>
                </c:pt>
                <c:pt idx="4">
                  <c:v>8.8000000000000007</c:v>
                </c:pt>
                <c:pt idx="5">
                  <c:v>7.6</c:v>
                </c:pt>
                <c:pt idx="6" formatCode="0.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86-4126-B9A3-8AE9F066F9CA}"/>
            </c:ext>
          </c:extLst>
        </c:ser>
        <c:ser>
          <c:idx val="2"/>
          <c:order val="1"/>
          <c:tx>
            <c:strRef>
              <c:f>NOVIEMBRE!$B$31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86-4126-B9A3-8AE9F066F9CA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NOVIEMBRE!$F$31:$L$31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86-4126-B9A3-8AE9F066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6864"/>
        <c:axId val="500157256"/>
      </c:lineChart>
      <c:catAx>
        <c:axId val="5001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7256"/>
        <c:crosses val="autoZero"/>
        <c:auto val="1"/>
        <c:lblAlgn val="ctr"/>
        <c:lblOffset val="100"/>
        <c:noMultiLvlLbl val="0"/>
      </c:catAx>
      <c:valAx>
        <c:axId val="500157256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6864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Sulfatos  (SO₄²-)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89474506632894"/>
          <c:y val="0.10364653267705505"/>
          <c:w val="0.67472978942593931"/>
          <c:h val="0.8185916645418736"/>
        </c:manualLayout>
      </c:layout>
      <c:lineChart>
        <c:grouping val="standard"/>
        <c:varyColors val="0"/>
        <c:ser>
          <c:idx val="1"/>
          <c:order val="0"/>
          <c:tx>
            <c:strRef>
              <c:f>NOVIEMBRE!$B$19</c:f>
              <c:strCache>
                <c:ptCount val="1"/>
                <c:pt idx="0">
                  <c:v>Cloruros (Cl-)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NOVIEMBRE!$F$16:$L$16</c:f>
              <c:numCache>
                <c:formatCode>General</c:formatCode>
                <c:ptCount val="7"/>
                <c:pt idx="0">
                  <c:v>175</c:v>
                </c:pt>
                <c:pt idx="1">
                  <c:v>190</c:v>
                </c:pt>
                <c:pt idx="2">
                  <c:v>160</c:v>
                </c:pt>
                <c:pt idx="3">
                  <c:v>170</c:v>
                </c:pt>
                <c:pt idx="4">
                  <c:v>225</c:v>
                </c:pt>
                <c:pt idx="5">
                  <c:v>140</c:v>
                </c:pt>
                <c:pt idx="6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6-41A4-B95D-C4F72F3F51E1}"/>
            </c:ext>
          </c:extLst>
        </c:ser>
        <c:ser>
          <c:idx val="2"/>
          <c:order val="1"/>
          <c:tx>
            <c:strRef>
              <c:f>NOVIEMBRE!$B$30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46-41A4-B95D-C4F72F3F51E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NOVIEMBRE!$F$30:$L$30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6-41A4-B95D-C4F72F3F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8040"/>
        <c:axId val="500158432"/>
      </c:lineChart>
      <c:catAx>
        <c:axId val="50015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8432"/>
        <c:crosses val="autoZero"/>
        <c:auto val="1"/>
        <c:lblAlgn val="ctr"/>
        <c:lblOffset val="100"/>
        <c:noMultiLvlLbl val="0"/>
      </c:catAx>
      <c:valAx>
        <c:axId val="500158432"/>
        <c:scaling>
          <c:orientation val="minMax"/>
          <c:max val="10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8040"/>
        <c:crosses val="autoZero"/>
        <c:crossBetween val="between"/>
        <c:majorUnit val="8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Conductividad Eléctrica (µS/cm)</a:t>
            </a:r>
          </a:p>
        </c:rich>
      </c:tx>
      <c:overlay val="0"/>
      <c:spPr>
        <a:solidFill>
          <a:srgbClr val="FF9933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DICIEMBRE!$B$9</c:f>
              <c:strCache>
                <c:ptCount val="1"/>
                <c:pt idx="0">
                  <c:v>Conductividad Eléctrica</c:v>
                </c:pt>
              </c:strCache>
            </c:strRef>
          </c:tx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DICIEMBRE!$F$9:$L$9</c:f>
              <c:numCache>
                <c:formatCode>_ * #,##0_ ;_ * \-#,##0_ ;_ * "-"??_ ;_ @_ </c:formatCode>
                <c:ptCount val="7"/>
                <c:pt idx="0">
                  <c:v>3500</c:v>
                </c:pt>
                <c:pt idx="1">
                  <c:v>2070</c:v>
                </c:pt>
                <c:pt idx="2">
                  <c:v>2770</c:v>
                </c:pt>
                <c:pt idx="3">
                  <c:v>2730</c:v>
                </c:pt>
                <c:pt idx="4">
                  <c:v>2260</c:v>
                </c:pt>
                <c:pt idx="5">
                  <c:v>294</c:v>
                </c:pt>
                <c:pt idx="6" formatCode="0">
                  <c:v>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C-45F6-B8D6-7BF6D145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59608"/>
        <c:axId val="500160000"/>
      </c:lineChart>
      <c:catAx>
        <c:axId val="50015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0000"/>
        <c:crosses val="autoZero"/>
        <c:auto val="1"/>
        <c:lblAlgn val="ctr"/>
        <c:lblOffset val="100"/>
        <c:noMultiLvlLbl val="0"/>
      </c:catAx>
      <c:valAx>
        <c:axId val="500160000"/>
        <c:scaling>
          <c:orientation val="minMax"/>
          <c:max val="360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59608"/>
        <c:crosses val="autoZero"/>
        <c:crossBetween val="between"/>
        <c:majorUnit val="5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5334040725013101"/>
          <c:y val="0.19020064522202593"/>
          <c:w val="0.68768305285276699"/>
          <c:h val="0.62593099165773547"/>
        </c:manualLayout>
      </c:layout>
      <c:lineChart>
        <c:grouping val="standard"/>
        <c:varyColors val="0"/>
        <c:ser>
          <c:idx val="0"/>
          <c:order val="0"/>
          <c:tx>
            <c:strRef>
              <c:f>DICIEMBRE!$B$10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DICIEMBRE!$F$10:$L$10</c:f>
              <c:numCache>
                <c:formatCode>0.00</c:formatCode>
                <c:ptCount val="7"/>
                <c:pt idx="0">
                  <c:v>7.95</c:v>
                </c:pt>
                <c:pt idx="1">
                  <c:v>7.67</c:v>
                </c:pt>
                <c:pt idx="2">
                  <c:v>7.75</c:v>
                </c:pt>
                <c:pt idx="3">
                  <c:v>7.89</c:v>
                </c:pt>
                <c:pt idx="4">
                  <c:v>8.0399999999999991</c:v>
                </c:pt>
                <c:pt idx="5">
                  <c:v>7.51</c:v>
                </c:pt>
                <c:pt idx="6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5-4FD8-B1C3-E1741C6AD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60784"/>
        <c:axId val="500161176"/>
      </c:lineChart>
      <c:catAx>
        <c:axId val="5001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1176"/>
        <c:crosses val="autoZero"/>
        <c:auto val="1"/>
        <c:lblAlgn val="ctr"/>
        <c:lblOffset val="100"/>
        <c:noMultiLvlLbl val="0"/>
      </c:catAx>
      <c:valAx>
        <c:axId val="500161176"/>
        <c:scaling>
          <c:orientation val="minMax"/>
          <c:max val="8.5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0784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Sólidos Totales  Disueltos (mg/L)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DICIEMBRE!$B$11</c:f>
              <c:strCache>
                <c:ptCount val="1"/>
                <c:pt idx="0">
                  <c:v>Sólidos Totales  Disueltos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6966288317609367E-2"/>
                  <c:y val="-1.9188398724349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AA-4C05-A618-0E0C16622D5C}"/>
                </c:ext>
              </c:extLst>
            </c:dLbl>
            <c:dLbl>
              <c:idx val="1"/>
              <c:layout>
                <c:manualLayout>
                  <c:x val="-4.853931897169686E-2"/>
                  <c:y val="2.87825980865238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AA-4C05-A618-0E0C16622D5C}"/>
                </c:ext>
              </c:extLst>
            </c:dLbl>
            <c:dLbl>
              <c:idx val="2"/>
              <c:layout>
                <c:manualLayout>
                  <c:x val="-3.7752803644653117E-2"/>
                  <c:y val="-2.8782598086523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AA-4C05-A618-0E0C16622D5C}"/>
                </c:ext>
              </c:extLst>
            </c:dLbl>
            <c:dLbl>
              <c:idx val="3"/>
              <c:layout>
                <c:manualLayout>
                  <c:x val="-5.3932576635218245E-3"/>
                  <c:y val="-2.3985498405436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AA-4C05-A618-0E0C16622D5C}"/>
                </c:ext>
              </c:extLst>
            </c:dLbl>
            <c:dLbl>
              <c:idx val="5"/>
              <c:layout>
                <c:manualLayout>
                  <c:x val="-2.6966288317609367E-2"/>
                  <c:y val="-2.8782598086523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AA-4C05-A618-0E0C16622D5C}"/>
                </c:ext>
              </c:extLst>
            </c:dLbl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DICIEMBRE!$F$11:$L$11</c:f>
              <c:numCache>
                <c:formatCode>_ * #,##0_ ;_ * \-#,##0_ ;_ * "-"??_ ;_ @_ </c:formatCode>
                <c:ptCount val="7"/>
                <c:pt idx="0">
                  <c:v>1563</c:v>
                </c:pt>
                <c:pt idx="1">
                  <c:v>942</c:v>
                </c:pt>
                <c:pt idx="2">
                  <c:v>1310</c:v>
                </c:pt>
                <c:pt idx="3">
                  <c:v>1292</c:v>
                </c:pt>
                <c:pt idx="4">
                  <c:v>1077</c:v>
                </c:pt>
                <c:pt idx="5">
                  <c:v>146</c:v>
                </c:pt>
                <c:pt idx="6" formatCode="0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5-4671-9A60-C5A916D0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61960"/>
        <c:axId val="500162352"/>
      </c:lineChart>
      <c:catAx>
        <c:axId val="50016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2352"/>
        <c:crosses val="autoZero"/>
        <c:auto val="1"/>
        <c:lblAlgn val="ctr"/>
        <c:lblOffset val="100"/>
        <c:noMultiLvlLbl val="0"/>
      </c:catAx>
      <c:valAx>
        <c:axId val="500162352"/>
        <c:scaling>
          <c:orientation val="minMax"/>
          <c:max val="200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1960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Temperatura (°C)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DICIEMBRE!$B$12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652814249714502E-2"/>
                  <c:y val="-4.236540394411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E0-4908-9E2B-24EC1636DC34}"/>
                </c:ext>
              </c:extLst>
            </c:dLbl>
            <c:dLbl>
              <c:idx val="1"/>
              <c:layout>
                <c:manualLayout>
                  <c:x val="-3.3652814249714481E-2"/>
                  <c:y val="3.389232315529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E0-4908-9E2B-24EC1636DC34}"/>
                </c:ext>
              </c:extLst>
            </c:dLbl>
            <c:dLbl>
              <c:idx val="2"/>
              <c:layout>
                <c:manualLayout>
                  <c:x val="-3.8830170288132092E-2"/>
                  <c:y val="2.5419242366471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E0-4908-9E2B-24EC1636DC34}"/>
                </c:ext>
              </c:extLst>
            </c:dLbl>
            <c:dLbl>
              <c:idx val="3"/>
              <c:layout>
                <c:manualLayout>
                  <c:x val="-4.6596204345758563E-2"/>
                  <c:y val="-1.694616157764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E0-4908-9E2B-24EC1636DC34}"/>
                </c:ext>
              </c:extLst>
            </c:dLbl>
            <c:dLbl>
              <c:idx val="4"/>
              <c:layout>
                <c:manualLayout>
                  <c:x val="-2.8475458211296965E-2"/>
                  <c:y val="-8.47308078882380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E0-4908-9E2B-24EC1636DC3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DICIEMBRE!$F$12:$L$12</c:f>
              <c:numCache>
                <c:formatCode>0.0</c:formatCode>
                <c:ptCount val="7"/>
                <c:pt idx="0">
                  <c:v>29.2</c:v>
                </c:pt>
                <c:pt idx="1">
                  <c:v>28.4</c:v>
                </c:pt>
                <c:pt idx="2">
                  <c:v>28.9</c:v>
                </c:pt>
                <c:pt idx="3">
                  <c:v>28.9</c:v>
                </c:pt>
                <c:pt idx="4">
                  <c:v>28</c:v>
                </c:pt>
                <c:pt idx="5">
                  <c:v>22.9</c:v>
                </c:pt>
                <c:pt idx="6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E0-4908-9E2B-24EC1636D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63136"/>
        <c:axId val="500163528"/>
      </c:lineChart>
      <c:catAx>
        <c:axId val="5001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3528"/>
        <c:crosses val="autoZero"/>
        <c:auto val="1"/>
        <c:lblAlgn val="ctr"/>
        <c:lblOffset val="100"/>
        <c:noMultiLvlLbl val="0"/>
      </c:catAx>
      <c:valAx>
        <c:axId val="500163528"/>
        <c:scaling>
          <c:orientation val="minMax"/>
          <c:max val="27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3136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Sulfatos  (SO₄²-)</a:t>
            </a:r>
          </a:p>
        </c:rich>
      </c:tx>
      <c:overlay val="0"/>
      <c:spPr>
        <a:solidFill>
          <a:srgbClr val="0070C0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89474506632894"/>
          <c:y val="0.10364653267705505"/>
          <c:w val="0.67472978942593931"/>
          <c:h val="0.8185916645418736"/>
        </c:manualLayout>
      </c:layout>
      <c:lineChart>
        <c:grouping val="standard"/>
        <c:varyColors val="0"/>
        <c:ser>
          <c:idx val="1"/>
          <c:order val="0"/>
          <c:tx>
            <c:strRef>
              <c:f>DICIEMBRE!$B$19</c:f>
              <c:strCache>
                <c:ptCount val="1"/>
                <c:pt idx="0">
                  <c:v>Cloruros (Cl-)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DICIEMBRE!$F$16:$L$16</c:f>
              <c:numCache>
                <c:formatCode>General</c:formatCode>
                <c:ptCount val="7"/>
                <c:pt idx="0">
                  <c:v>200</c:v>
                </c:pt>
                <c:pt idx="1">
                  <c:v>220</c:v>
                </c:pt>
                <c:pt idx="2">
                  <c:v>200</c:v>
                </c:pt>
                <c:pt idx="3">
                  <c:v>190</c:v>
                </c:pt>
                <c:pt idx="4">
                  <c:v>165</c:v>
                </c:pt>
                <c:pt idx="5">
                  <c:v>125</c:v>
                </c:pt>
                <c:pt idx="6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6-41A4-B95D-C4F72F3F51E1}"/>
            </c:ext>
          </c:extLst>
        </c:ser>
        <c:ser>
          <c:idx val="2"/>
          <c:order val="1"/>
          <c:tx>
            <c:strRef>
              <c:f>DICIEMBRE!$B$30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46-41A4-B95D-C4F72F3F51E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DICIEMBRE!$F$30:$L$30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6-41A4-B95D-C4F72F3F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64312"/>
        <c:axId val="500164704"/>
      </c:lineChart>
      <c:catAx>
        <c:axId val="5001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4704"/>
        <c:crosses val="autoZero"/>
        <c:auto val="1"/>
        <c:lblAlgn val="ctr"/>
        <c:lblOffset val="100"/>
        <c:noMultiLvlLbl val="0"/>
      </c:catAx>
      <c:valAx>
        <c:axId val="500164704"/>
        <c:scaling>
          <c:orientation val="minMax"/>
          <c:max val="10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4312"/>
        <c:crosses val="autoZero"/>
        <c:crossBetween val="between"/>
        <c:majorUnit val="8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B0F0"/>
        </a:solidFill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DICIEMBRE!$B$13</c:f>
              <c:strCache>
                <c:ptCount val="1"/>
                <c:pt idx="0">
                  <c:v>Turbidez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9464412908828E-2"/>
                  <c:y val="-4.550625711035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1E-4B67-8479-BBF345FFB84D}"/>
                </c:ext>
              </c:extLst>
            </c:dLbl>
            <c:dLbl>
              <c:idx val="1"/>
              <c:layout>
                <c:manualLayout>
                  <c:x val="-4.9121302746619779E-2"/>
                  <c:y val="-5.00568828213880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1E-4B67-8479-BBF345FFB84D}"/>
                </c:ext>
              </c:extLst>
            </c:dLbl>
            <c:dLbl>
              <c:idx val="2"/>
              <c:layout>
                <c:manualLayout>
                  <c:x val="-4.6535971023113479E-2"/>
                  <c:y val="-3.185437997724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1E-4B67-8479-BBF345FFB84D}"/>
                </c:ext>
              </c:extLst>
            </c:dLbl>
            <c:dLbl>
              <c:idx val="3"/>
              <c:layout>
                <c:manualLayout>
                  <c:x val="-4.9121302746619779E-2"/>
                  <c:y val="-3.64050056882821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1E-4B67-8479-BBF345FFB84D}"/>
                </c:ext>
              </c:extLst>
            </c:dLbl>
            <c:dLbl>
              <c:idx val="4"/>
              <c:layout>
                <c:manualLayout>
                  <c:x val="-4.7163279116848186E-2"/>
                  <c:y val="-4.039481944064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1E-4B67-8479-BBF345FFB84D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'MARZO 2022'!$O$30:$U$30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DICIEMBRE!$F$13:$L$13</c:f>
              <c:numCache>
                <c:formatCode>General</c:formatCode>
                <c:ptCount val="7"/>
                <c:pt idx="0">
                  <c:v>16.899999999999999</c:v>
                </c:pt>
                <c:pt idx="1">
                  <c:v>20.100000000000001</c:v>
                </c:pt>
                <c:pt idx="2">
                  <c:v>56.1</c:v>
                </c:pt>
                <c:pt idx="3">
                  <c:v>27.4</c:v>
                </c:pt>
                <c:pt idx="4">
                  <c:v>38.1</c:v>
                </c:pt>
                <c:pt idx="5">
                  <c:v>251</c:v>
                </c:pt>
                <c:pt idx="6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E-4B67-8479-BBF345F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65488"/>
        <c:axId val="500165880"/>
      </c:lineChart>
      <c:catAx>
        <c:axId val="5001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5880"/>
        <c:crosses val="autoZero"/>
        <c:auto val="1"/>
        <c:lblAlgn val="ctr"/>
        <c:lblOffset val="100"/>
        <c:noMultiLvlLbl val="0"/>
      </c:catAx>
      <c:valAx>
        <c:axId val="500165880"/>
        <c:scaling>
          <c:orientation val="minMax"/>
          <c:max val="2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5488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Nitratos  (NO3-) 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DICIEMBRE!$B$17</c:f>
              <c:strCache>
                <c:ptCount val="1"/>
                <c:pt idx="0">
                  <c:v>Nitratos  (NO3-)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5766953878355807E-2"/>
                  <c:y val="-2.3087817473682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86-4126-B9A3-8AE9F066F9CA}"/>
                </c:ext>
              </c:extLst>
            </c:dLbl>
            <c:dLbl>
              <c:idx val="1"/>
              <c:layout>
                <c:manualLayout>
                  <c:x val="-3.7059911724457513E-3"/>
                  <c:y val="-2.6935484213049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86-4126-B9A3-8AE9F066F9CA}"/>
                </c:ext>
              </c:extLst>
            </c:dLbl>
            <c:dLbl>
              <c:idx val="2"/>
              <c:layout>
                <c:manualLayout>
                  <c:x val="-2.1111803045163403E-2"/>
                  <c:y val="-3.098305068913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86-4126-B9A3-8AE9F066F9CA}"/>
                </c:ext>
              </c:extLst>
            </c:dLbl>
            <c:dLbl>
              <c:idx val="3"/>
              <c:layout>
                <c:manualLayout>
                  <c:x val="-3.7059911724458194E-3"/>
                  <c:y val="-1.6834677633155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86-4126-B9A3-8AE9F066F9CA}"/>
                </c:ext>
              </c:extLst>
            </c:dLbl>
            <c:dLbl>
              <c:idx val="4"/>
              <c:layout>
                <c:manualLayout>
                  <c:x val="-3.7059911724457513E-3"/>
                  <c:y val="-2.3568548686418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86-4126-B9A3-8AE9F066F9CA}"/>
                </c:ext>
              </c:extLst>
            </c:dLbl>
            <c:dLbl>
              <c:idx val="5"/>
              <c:layout>
                <c:manualLayout>
                  <c:x val="-1.1117973517337254E-2"/>
                  <c:y val="-2.0201613159786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86-4126-B9A3-8AE9F066F9CA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DICIEMBRE!$F$17:$L$17</c:f>
              <c:numCache>
                <c:formatCode>General</c:formatCode>
                <c:ptCount val="7"/>
                <c:pt idx="0">
                  <c:v>9.1999999999999993</c:v>
                </c:pt>
                <c:pt idx="1">
                  <c:v>9.5</c:v>
                </c:pt>
                <c:pt idx="2" formatCode="0.0">
                  <c:v>9.3000000000000007</c:v>
                </c:pt>
                <c:pt idx="3" formatCode="0.0">
                  <c:v>8.3000000000000007</c:v>
                </c:pt>
                <c:pt idx="4">
                  <c:v>8.8000000000000007</c:v>
                </c:pt>
                <c:pt idx="5">
                  <c:v>1.3</c:v>
                </c:pt>
                <c:pt idx="6" formatCode="0.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86-4126-B9A3-8AE9F066F9CA}"/>
            </c:ext>
          </c:extLst>
        </c:ser>
        <c:ser>
          <c:idx val="2"/>
          <c:order val="1"/>
          <c:tx>
            <c:strRef>
              <c:f>DICIEMBRE!$B$31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86-4126-B9A3-8AE9F066F9CA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DICIEMBRE!$F$31:$L$31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86-4126-B9A3-8AE9F066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67056"/>
        <c:axId val="500167448"/>
      </c:lineChart>
      <c:catAx>
        <c:axId val="50016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7448"/>
        <c:crosses val="autoZero"/>
        <c:auto val="1"/>
        <c:lblAlgn val="ctr"/>
        <c:lblOffset val="100"/>
        <c:noMultiLvlLbl val="0"/>
      </c:catAx>
      <c:valAx>
        <c:axId val="500167448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7056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4119809929308289"/>
          <c:y val="0.61079789017567621"/>
          <c:w val="0.25880190070691694"/>
          <c:h val="9.79687329648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Nitritos(NO</a:t>
            </a:r>
            <a:r>
              <a:rPr lang="en-US" sz="1200" b="1">
                <a:solidFill>
                  <a:schemeClr val="bg1"/>
                </a:solidFill>
              </a:rPr>
              <a:t>2</a:t>
            </a:r>
            <a:r>
              <a:rPr lang="en-US" b="1">
                <a:solidFill>
                  <a:schemeClr val="bg1"/>
                </a:solidFill>
              </a:rPr>
              <a:t>-)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DICIEMBRE!$B$23</c:f>
              <c:strCache>
                <c:ptCount val="1"/>
                <c:pt idx="0">
                  <c:v>Nitritos(NO2-)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DICIEMBRE!$F$23:$L$23</c:f>
              <c:numCache>
                <c:formatCode>0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18</c:v>
                </c:pt>
                <c:pt idx="3">
                  <c:v>10</c:v>
                </c:pt>
                <c:pt idx="4">
                  <c:v>12</c:v>
                </c:pt>
                <c:pt idx="5">
                  <c:v>17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89-4511-90F9-C56EBA20D5D2}"/>
            </c:ext>
          </c:extLst>
        </c:ser>
        <c:ser>
          <c:idx val="2"/>
          <c:order val="1"/>
          <c:tx>
            <c:strRef>
              <c:f>DICIEMBRE!$B$36</c:f>
              <c:strCache>
                <c:ptCount val="1"/>
                <c:pt idx="0">
                  <c:v>LMP-DS N° 004-2017  - RIEGO Y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CC-4042-98CD-7C1D65491BF6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DICIEMBRE!$F$36:$L$36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89-4511-90F9-C56EBA20D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68232"/>
        <c:axId val="500168624"/>
      </c:lineChart>
      <c:catAx>
        <c:axId val="50016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8624"/>
        <c:crosses val="autoZero"/>
        <c:auto val="1"/>
        <c:lblAlgn val="ctr"/>
        <c:lblOffset val="100"/>
        <c:noMultiLvlLbl val="0"/>
      </c:catAx>
      <c:valAx>
        <c:axId val="500168624"/>
        <c:scaling>
          <c:orientation val="minMax"/>
          <c:max val="2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8232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Cobre (Cu) </a:t>
            </a:r>
          </a:p>
        </c:rich>
      </c:tx>
      <c:overlay val="0"/>
      <c:spPr>
        <a:solidFill>
          <a:srgbClr val="99FFC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DICIEMBRE!$B$18</c:f>
              <c:strCache>
                <c:ptCount val="1"/>
                <c:pt idx="0">
                  <c:v>Cobre (Cu)</c:v>
                </c:pt>
              </c:strCache>
            </c:strRef>
          </c:tx>
          <c:spPr>
            <a:ln w="28575">
              <a:solidFill>
                <a:srgbClr val="99FFCC"/>
              </a:solidFill>
            </a:ln>
          </c:spPr>
          <c:marker>
            <c:symbol val="none"/>
          </c:marker>
          <c:dLbls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DICIEMBRE!$F$18:$L$18</c:f>
              <c:numCache>
                <c:formatCode>0.0</c:formatCode>
                <c:ptCount val="7"/>
                <c:pt idx="0">
                  <c:v>2.1800000000000002</c:v>
                </c:pt>
                <c:pt idx="1">
                  <c:v>2.17</c:v>
                </c:pt>
                <c:pt idx="2">
                  <c:v>2.4</c:v>
                </c:pt>
                <c:pt idx="3">
                  <c:v>2.35</c:v>
                </c:pt>
                <c:pt idx="4">
                  <c:v>0.34</c:v>
                </c:pt>
                <c:pt idx="5">
                  <c:v>0.2</c:v>
                </c:pt>
                <c:pt idx="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F-43EB-8C5B-74CBE7C11123}"/>
            </c:ext>
          </c:extLst>
        </c:ser>
        <c:ser>
          <c:idx val="2"/>
          <c:order val="1"/>
          <c:tx>
            <c:strRef>
              <c:f>DICIEMBRE!$B$32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3F-43EB-8C5B-74CBE7C11123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DICIEMBRE!$F$32:$L$32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F-43EB-8C5B-74CBE7C11123}"/>
            </c:ext>
          </c:extLst>
        </c:ser>
        <c:ser>
          <c:idx val="3"/>
          <c:order val="2"/>
          <c:tx>
            <c:strRef>
              <c:f>DICIEMBRE!$B$33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3F-43EB-8C5B-74CBE7C11123}"/>
                </c:ext>
              </c:extLst>
            </c:dLbl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DICIEMBRE!$F$33:$L$33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3F-43EB-8C5B-74CBE7C1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69408"/>
        <c:axId val="500169800"/>
      </c:lineChart>
      <c:catAx>
        <c:axId val="50016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9800"/>
        <c:crosses val="autoZero"/>
        <c:auto val="1"/>
        <c:lblAlgn val="ctr"/>
        <c:lblOffset val="100"/>
        <c:noMultiLvlLbl val="0"/>
      </c:catAx>
      <c:valAx>
        <c:axId val="500169800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69408"/>
        <c:crosses val="autoZero"/>
        <c:crossBetween val="between"/>
        <c:min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Cloruros (Cl-)</a:t>
            </a:r>
          </a:p>
        </c:rich>
      </c:tx>
      <c:overlay val="0"/>
      <c:spPr>
        <a:solidFill>
          <a:srgbClr val="D2F8FE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DICIEMBRE!$B$19</c:f>
              <c:strCache>
                <c:ptCount val="1"/>
                <c:pt idx="0">
                  <c:v>Cloruros (Cl-)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spPr>
              <a:solidFill>
                <a:srgbClr val="D2F8FE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DICIEMBRE!$F$19:$L$19</c:f>
              <c:numCache>
                <c:formatCode>0</c:formatCode>
                <c:ptCount val="7"/>
                <c:pt idx="0">
                  <c:v>191.94047999999998</c:v>
                </c:pt>
                <c:pt idx="1">
                  <c:v>229.428855</c:v>
                </c:pt>
                <c:pt idx="2">
                  <c:v>278.91350999999997</c:v>
                </c:pt>
                <c:pt idx="3">
                  <c:v>185.94234</c:v>
                </c:pt>
                <c:pt idx="4">
                  <c:v>182.94326999999998</c:v>
                </c:pt>
                <c:pt idx="5">
                  <c:v>50.984189999999998</c:v>
                </c:pt>
                <c:pt idx="6">
                  <c:v>41.986979999999988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E-42CE-8AF9-C53586FC8F27}"/>
            </c:ext>
          </c:extLst>
        </c:ser>
        <c:ser>
          <c:idx val="2"/>
          <c:order val="1"/>
          <c:tx>
            <c:strRef>
              <c:f>DICIEMBRE!$B$34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0E-42CE-8AF9-C53586FC8F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DICIEMBRE!$F$34:$L$34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E-42CE-8AF9-C53586FC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0584"/>
        <c:axId val="500170976"/>
      </c:lineChart>
      <c:catAx>
        <c:axId val="50017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0976"/>
        <c:crosses val="autoZero"/>
        <c:auto val="1"/>
        <c:lblAlgn val="ctr"/>
        <c:lblOffset val="100"/>
        <c:noMultiLvlLbl val="0"/>
      </c:catAx>
      <c:valAx>
        <c:axId val="500170976"/>
        <c:scaling>
          <c:orientation val="minMax"/>
          <c:max val="52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0584"/>
        <c:crosses val="autoZero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Cromo Hexavalente (Cr</a:t>
            </a:r>
            <a:r>
              <a:rPr lang="en-US" sz="1000" b="1">
                <a:solidFill>
                  <a:sysClr val="windowText" lastClr="000000"/>
                </a:solidFill>
              </a:rPr>
              <a:t>6</a:t>
            </a:r>
            <a:r>
              <a:rPr lang="en-US" sz="1200" b="1">
                <a:solidFill>
                  <a:sysClr val="windowText" lastClr="000000"/>
                </a:solidFill>
              </a:rPr>
              <a:t>+</a:t>
            </a:r>
            <a:r>
              <a:rPr lang="en-US" b="1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solidFill>
          <a:srgbClr val="F6D7F9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DICIEMBRE!$B$22</c:f>
              <c:strCache>
                <c:ptCount val="1"/>
                <c:pt idx="0">
                  <c:v>Cromo Hexavalente (Cr6+)</c:v>
                </c:pt>
              </c:strCache>
            </c:strRef>
          </c:tx>
          <c:spPr>
            <a:ln>
              <a:solidFill>
                <a:srgbClr val="F6D7F9"/>
              </a:solidFill>
            </a:ln>
          </c:spPr>
          <c:marker>
            <c:symbol val="none"/>
          </c:marker>
          <c:dLbls>
            <c:spPr>
              <a:solidFill>
                <a:srgbClr val="F6D7F9"/>
              </a:solidFill>
              <a:ln>
                <a:solidFill>
                  <a:srgbClr val="F6D7F9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DICIEMBRE!$F$22:$L$22</c:f>
              <c:numCache>
                <c:formatCode>0.000</c:formatCode>
                <c:ptCount val="7"/>
                <c:pt idx="0">
                  <c:v>2.4E-2</c:v>
                </c:pt>
                <c:pt idx="1">
                  <c:v>6.5000000000000002E-2</c:v>
                </c:pt>
                <c:pt idx="2">
                  <c:v>7.1999999999999995E-2</c:v>
                </c:pt>
                <c:pt idx="3">
                  <c:v>3.5000000000000003E-2</c:v>
                </c:pt>
                <c:pt idx="4">
                  <c:v>6.5000000000000002E-2</c:v>
                </c:pt>
                <c:pt idx="5">
                  <c:v>7.9000000000000001E-2</c:v>
                </c:pt>
                <c:pt idx="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4-4916-82E6-55EC3C57CC85}"/>
            </c:ext>
          </c:extLst>
        </c:ser>
        <c:ser>
          <c:idx val="2"/>
          <c:order val="1"/>
          <c:tx>
            <c:strRef>
              <c:f>DICIEMBRE!$B$39</c:f>
              <c:strCache>
                <c:ptCount val="1"/>
                <c:pt idx="0">
                  <c:v>LMP-DS N° 004-2017  - RIEGO</c:v>
                </c:pt>
              </c:strCache>
            </c:strRef>
          </c:tx>
          <c:marker>
            <c:symbol val="none"/>
          </c:marker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DICIEMBRE!$F$39:$L$39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4-4916-82E6-55EC3C57C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1760"/>
        <c:axId val="500172152"/>
      </c:lineChart>
      <c:catAx>
        <c:axId val="50017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2152"/>
        <c:crosses val="autoZero"/>
        <c:auto val="1"/>
        <c:lblAlgn val="ctr"/>
        <c:lblOffset val="100"/>
        <c:noMultiLvlLbl val="0"/>
      </c:catAx>
      <c:valAx>
        <c:axId val="500172152"/>
        <c:scaling>
          <c:orientation val="minMax"/>
          <c:max val="0.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1760"/>
        <c:crosses val="autoZero"/>
        <c:crossBetween val="between"/>
        <c:majorUnit val="1.0000000000000002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Manganeso (Mn)</a:t>
            </a:r>
          </a:p>
        </c:rich>
      </c:tx>
      <c:overlay val="0"/>
      <c:spPr>
        <a:solidFill>
          <a:srgbClr val="00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DICIEMBRE!$B$20</c:f>
              <c:strCache>
                <c:ptCount val="1"/>
                <c:pt idx="0">
                  <c:v>Manganeso (Mn)</c:v>
                </c:pt>
              </c:strCache>
            </c:strRef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dLbls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DICIEMBRE!$F$20:$L$20</c:f>
              <c:numCache>
                <c:formatCode>0.0</c:formatCode>
                <c:ptCount val="7"/>
                <c:pt idx="0">
                  <c:v>3.7</c:v>
                </c:pt>
                <c:pt idx="1">
                  <c:v>1.8</c:v>
                </c:pt>
                <c:pt idx="2">
                  <c:v>1.2</c:v>
                </c:pt>
                <c:pt idx="3">
                  <c:v>1</c:v>
                </c:pt>
                <c:pt idx="4">
                  <c:v>0.7</c:v>
                </c:pt>
                <c:pt idx="5">
                  <c:v>0.4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D3-4D00-9F48-8A83B320EED1}"/>
            </c:ext>
          </c:extLst>
        </c:ser>
        <c:ser>
          <c:idx val="2"/>
          <c:order val="1"/>
          <c:tx>
            <c:strRef>
              <c:f>DICIEMBRE!$B$35</c:f>
              <c:strCache>
                <c:ptCount val="1"/>
                <c:pt idx="0">
                  <c:v>LMP-DS N° 004-2017  - RIEGO Y ANIMALES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D3-4D00-9F48-8A83B320EED1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DICIEMBRE!$F$35:$L$35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D3-4D00-9F48-8A83B320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2936"/>
        <c:axId val="500173328"/>
      </c:lineChart>
      <c:catAx>
        <c:axId val="50017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3328"/>
        <c:crosses val="autoZero"/>
        <c:auto val="1"/>
        <c:lblAlgn val="ctr"/>
        <c:lblOffset val="100"/>
        <c:noMultiLvlLbl val="0"/>
      </c:catAx>
      <c:valAx>
        <c:axId val="50017332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2936"/>
        <c:crosses val="autoZero"/>
        <c:crossBetween val="between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Zinc (Zn)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DICIEMBRE!$B$24</c:f>
              <c:strCache>
                <c:ptCount val="1"/>
                <c:pt idx="0">
                  <c:v>Zinc (Zn)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DICIEMBRE!$F$24:$L$24</c:f>
              <c:numCache>
                <c:formatCode>0.00</c:formatCode>
                <c:ptCount val="7"/>
                <c:pt idx="0">
                  <c:v>0.26</c:v>
                </c:pt>
                <c:pt idx="1">
                  <c:v>0.13</c:v>
                </c:pt>
                <c:pt idx="2">
                  <c:v>0.09</c:v>
                </c:pt>
                <c:pt idx="3">
                  <c:v>0.1</c:v>
                </c:pt>
                <c:pt idx="4">
                  <c:v>0.23</c:v>
                </c:pt>
                <c:pt idx="5">
                  <c:v>0.19</c:v>
                </c:pt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E-4D69-B710-FCC7EB14C4C8}"/>
            </c:ext>
          </c:extLst>
        </c:ser>
        <c:ser>
          <c:idx val="2"/>
          <c:order val="1"/>
          <c:tx>
            <c:strRef>
              <c:f>DICIEMBRE!$B$39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E-4D69-B710-FCC7EB14C4C8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DICIEMBRE!$F$39:$L$39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E-4D69-B710-FCC7EB14C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4112"/>
        <c:axId val="500174504"/>
      </c:lineChart>
      <c:catAx>
        <c:axId val="5001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4504"/>
        <c:crosses val="autoZero"/>
        <c:auto val="1"/>
        <c:lblAlgn val="ctr"/>
        <c:lblOffset val="100"/>
        <c:noMultiLvlLbl val="0"/>
      </c:catAx>
      <c:valAx>
        <c:axId val="50017450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4112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Hierro (Fe)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DICIEMBRE!$B$21</c:f>
              <c:strCache>
                <c:ptCount val="1"/>
                <c:pt idx="0">
                  <c:v>Hierro (Fe)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0641399416909644E-2"/>
                  <c:y val="-3.4158838599487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F1-481B-9CC3-049FEBF3EEC7}"/>
                </c:ext>
              </c:extLst>
            </c:dLbl>
            <c:dLbl>
              <c:idx val="1"/>
              <c:layout>
                <c:manualLayout>
                  <c:x val="-4.1982507288629782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F1-481B-9CC3-049FEBF3EEC7}"/>
                </c:ext>
              </c:extLst>
            </c:dLbl>
            <c:dLbl>
              <c:idx val="2"/>
              <c:layout>
                <c:manualLayout>
                  <c:x val="-4.1982507288629782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F1-481B-9CC3-049FEBF3EEC7}"/>
                </c:ext>
              </c:extLst>
            </c:dLbl>
            <c:dLbl>
              <c:idx val="3"/>
              <c:layout>
                <c:manualLayout>
                  <c:x val="-3.9650145772594798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F1-481B-9CC3-049FEBF3EEC7}"/>
                </c:ext>
              </c:extLst>
            </c:dLbl>
            <c:dLbl>
              <c:idx val="4"/>
              <c:layout>
                <c:manualLayout>
                  <c:x val="-2.7988338192419825E-2"/>
                  <c:y val="-6.83176771989752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F1-481B-9CC3-049FEBF3EEC7}"/>
                </c:ext>
              </c:extLst>
            </c:dLbl>
            <c:dLbl>
              <c:idx val="5"/>
              <c:layout>
                <c:manualLayout>
                  <c:x val="-2.099125364431487E-2"/>
                  <c:y val="-1.0247651579846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F1-481B-9CC3-049FEBF3EEC7}"/>
                </c:ext>
              </c:extLst>
            </c:dLbl>
            <c:dLbl>
              <c:idx val="6"/>
              <c:layout>
                <c:manualLayout>
                  <c:x val="-1.3994169096209912E-2"/>
                  <c:y val="-1.3663535439795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F1-481B-9CC3-049FEBF3EEC7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DICIEMBRE!$F$21:$L$21</c:f>
              <c:numCache>
                <c:formatCode>0.000</c:formatCode>
                <c:ptCount val="7"/>
                <c:pt idx="0">
                  <c:v>7.9000000000000001E-2</c:v>
                </c:pt>
                <c:pt idx="1">
                  <c:v>7.1999999999999995E-2</c:v>
                </c:pt>
                <c:pt idx="2">
                  <c:v>6.8000000000000005E-2</c:v>
                </c:pt>
                <c:pt idx="3">
                  <c:v>9.4E-2</c:v>
                </c:pt>
                <c:pt idx="4">
                  <c:v>2.5999999999999999E-2</c:v>
                </c:pt>
                <c:pt idx="5">
                  <c:v>5.8000000000000003E-2</c:v>
                </c:pt>
                <c:pt idx="6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1-481B-9CC3-049FEBF3EEC7}"/>
            </c:ext>
          </c:extLst>
        </c:ser>
        <c:ser>
          <c:idx val="2"/>
          <c:order val="1"/>
          <c:tx>
            <c:strRef>
              <c:f>DICIEMBRE!$B$37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F1-481B-9CC3-049FEBF3EEC7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DICIEMBRE!$F$37:$L$37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1-481B-9CC3-049FEBF3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5288"/>
        <c:axId val="500175680"/>
      </c:lineChart>
      <c:catAx>
        <c:axId val="50017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5680"/>
        <c:crosses val="autoZero"/>
        <c:auto val="1"/>
        <c:lblAlgn val="ctr"/>
        <c:lblOffset val="100"/>
        <c:noMultiLvlLbl val="0"/>
      </c:catAx>
      <c:valAx>
        <c:axId val="500175680"/>
        <c:scaling>
          <c:orientation val="minMax"/>
          <c:max val="5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5288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Indicadores de Contaminación Microbiologica </a:t>
            </a:r>
          </a:p>
          <a:p>
            <a:pPr>
              <a:defRPr lang="es-E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NOVIEMBRE 2022</a:t>
            </a:r>
          </a:p>
        </c:rich>
      </c:tx>
      <c:layout>
        <c:manualLayout>
          <c:xMode val="edge"/>
          <c:yMode val="edge"/>
          <c:x val="0.16683390588170482"/>
          <c:y val="3.313924839854788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microbiologia!$E$2</c:f>
              <c:strCache>
                <c:ptCount val="1"/>
                <c:pt idx="0">
                  <c:v>COLIFORMES TOTALES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7241379310344813E-2"/>
                  <c:y val="-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95-4B67-89CF-0BCBE8B8BE75}"/>
                </c:ext>
              </c:extLst>
            </c:dLbl>
            <c:dLbl>
              <c:idx val="1"/>
              <c:layout>
                <c:manualLayout>
                  <c:x val="-3.2567049808429158E-2"/>
                  <c:y val="-5.5555555555555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95-4B67-89CF-0BCBE8B8BE75}"/>
                </c:ext>
              </c:extLst>
            </c:dLbl>
            <c:dLbl>
              <c:idx val="2"/>
              <c:layout>
                <c:manualLayout>
                  <c:x val="-4.0426058500545405E-2"/>
                  <c:y val="-3.2407554560267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95-4B67-89CF-0BCBE8B8BE75}"/>
                </c:ext>
              </c:extLst>
            </c:dLbl>
            <c:dLbl>
              <c:idx val="3"/>
              <c:layout>
                <c:manualLayout>
                  <c:x val="-2.2988505747126436E-2"/>
                  <c:y val="-4.629629629629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95-4B67-89CF-0BCBE8B8BE75}"/>
                </c:ext>
              </c:extLst>
            </c:dLbl>
            <c:dLbl>
              <c:idx val="4"/>
              <c:layout>
                <c:manualLayout>
                  <c:x val="-2.8735632183908049E-2"/>
                  <c:y val="-2.77777777777778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95-4B67-89CF-0BCBE8B8BE75}"/>
                </c:ext>
              </c:extLst>
            </c:dLbl>
            <c:dLbl>
              <c:idx val="5"/>
              <c:layout>
                <c:manualLayout>
                  <c:x val="-3.0651340996168733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95-4B67-89CF-0BCBE8B8BE75}"/>
                </c:ext>
              </c:extLst>
            </c:dLbl>
            <c:dLbl>
              <c:idx val="6"/>
              <c:layout>
                <c:manualLayout>
                  <c:x val="-2.8735632183908049E-2"/>
                  <c:y val="-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95-4B67-89CF-0BCBE8B8BE75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microbiologia!$M$3:$S$3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microbiologia!$M$6:$S$6</c:f>
              <c:numCache>
                <c:formatCode>General</c:formatCode>
                <c:ptCount val="7"/>
                <c:pt idx="0">
                  <c:v>150</c:v>
                </c:pt>
                <c:pt idx="1">
                  <c:v>75</c:v>
                </c:pt>
                <c:pt idx="2">
                  <c:v>75</c:v>
                </c:pt>
                <c:pt idx="3">
                  <c:v>43</c:v>
                </c:pt>
                <c:pt idx="4">
                  <c:v>43</c:v>
                </c:pt>
                <c:pt idx="5">
                  <c:v>35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95-4B67-89CF-0BCBE8B8BE75}"/>
            </c:ext>
          </c:extLst>
        </c:ser>
        <c:ser>
          <c:idx val="1"/>
          <c:order val="1"/>
          <c:tx>
            <c:strRef>
              <c:f>microbiologia!$E$9</c:f>
              <c:strCache>
                <c:ptCount val="1"/>
                <c:pt idx="0">
                  <c:v>COLIFORMES TERMOTOLERANTES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145593869731823E-2"/>
                  <c:y val="-3.2407407407407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95-4B67-89CF-0BCBE8B8BE75}"/>
                </c:ext>
              </c:extLst>
            </c:dLbl>
            <c:dLbl>
              <c:idx val="1"/>
              <c:layout>
                <c:manualLayout>
                  <c:x val="-2.8735632183908049E-2"/>
                  <c:y val="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95-4B67-89CF-0BCBE8B8BE75}"/>
                </c:ext>
              </c:extLst>
            </c:dLbl>
            <c:dLbl>
              <c:idx val="2"/>
              <c:layout>
                <c:manualLayout>
                  <c:x val="-3.0945666133991689E-2"/>
                  <c:y val="2.4125149493927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95-4B67-89CF-0BCBE8B8BE75}"/>
                </c:ext>
              </c:extLst>
            </c:dLbl>
            <c:dLbl>
              <c:idx val="3"/>
              <c:layout>
                <c:manualLayout>
                  <c:x val="-5.6971514242878558E-2"/>
                  <c:y val="-3.35250718181300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95-4B67-89CF-0BCBE8B8BE75}"/>
                </c:ext>
              </c:extLst>
            </c:dLbl>
            <c:dLbl>
              <c:idx val="4"/>
              <c:layout>
                <c:manualLayout>
                  <c:x val="-3.4679076058449713E-2"/>
                  <c:y val="1.9495452976634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E95-4B67-89CF-0BCBE8B8BE75}"/>
                </c:ext>
              </c:extLst>
            </c:dLbl>
            <c:dLbl>
              <c:idx val="5"/>
              <c:layout>
                <c:manualLayout>
                  <c:x val="-4.8940913817670441E-2"/>
                  <c:y val="2.8542303771661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E95-4B67-89CF-0BCBE8B8BE75}"/>
                </c:ext>
              </c:extLst>
            </c:dLbl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microbiologia!$M$3:$S$3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microbiologia!$M$13:$S$13</c:f>
              <c:numCache>
                <c:formatCode>General</c:formatCode>
                <c:ptCount val="7"/>
                <c:pt idx="0">
                  <c:v>75</c:v>
                </c:pt>
                <c:pt idx="1">
                  <c:v>43</c:v>
                </c:pt>
                <c:pt idx="2">
                  <c:v>23</c:v>
                </c:pt>
                <c:pt idx="3">
                  <c:v>23</c:v>
                </c:pt>
                <c:pt idx="4">
                  <c:v>15</c:v>
                </c:pt>
                <c:pt idx="5">
                  <c:v>14</c:v>
                </c:pt>
                <c:pt idx="6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95-4B67-89CF-0BCBE8B8B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76464"/>
        <c:axId val="500176856"/>
      </c:lineChart>
      <c:catAx>
        <c:axId val="500176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6856"/>
        <c:crosses val="autoZero"/>
        <c:auto val="1"/>
        <c:lblAlgn val="ctr"/>
        <c:lblOffset val="100"/>
        <c:noMultiLvlLbl val="0"/>
      </c:catAx>
      <c:valAx>
        <c:axId val="500176856"/>
        <c:scaling>
          <c:orientation val="minMax"/>
          <c:max val="155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NMP/ML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017646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TURBIDEZ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MARZO'!$B$29</c:f>
              <c:strCache>
                <c:ptCount val="1"/>
                <c:pt idx="0">
                  <c:v>Turbidez - MARZO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5245902616983458E-2"/>
                  <c:y val="-3.6070502210738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A8-4B28-85EE-06D0DD8D0386}"/>
                </c:ext>
              </c:extLst>
            </c:dLbl>
            <c:dLbl>
              <c:idx val="2"/>
              <c:layout>
                <c:manualLayout>
                  <c:x val="-2.5245902616983458E-2"/>
                  <c:y val="-3.3064627026510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A8-4B28-85EE-06D0DD8D0386}"/>
                </c:ext>
              </c:extLst>
            </c:dLbl>
            <c:dLbl>
              <c:idx val="3"/>
              <c:layout>
                <c:manualLayout>
                  <c:x val="-3.0655738892051396E-2"/>
                  <c:y val="-3.9076377394966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A8-4B28-85EE-06D0DD8D0386}"/>
                </c:ext>
              </c:extLst>
            </c:dLbl>
            <c:dLbl>
              <c:idx val="4"/>
              <c:layout>
                <c:manualLayout>
                  <c:x val="-3.9672132683831143E-2"/>
                  <c:y val="-4.6591065355537052E-2"/>
                </c:manualLayout>
              </c:layout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s-ES"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25482373518101E-2"/>
                      <c:h val="2.70079068718330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8A8-4B28-85EE-06D0DD8D0386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MARZO'!$F$29:$L$29</c:f>
              <c:numCache>
                <c:formatCode>0.00</c:formatCode>
                <c:ptCount val="7"/>
                <c:pt idx="0">
                  <c:v>61.9</c:v>
                </c:pt>
                <c:pt idx="1">
                  <c:v>19.8</c:v>
                </c:pt>
                <c:pt idx="2">
                  <c:v>31.6</c:v>
                </c:pt>
                <c:pt idx="3">
                  <c:v>33.1</c:v>
                </c:pt>
                <c:pt idx="4">
                  <c:v>57.2</c:v>
                </c:pt>
                <c:pt idx="5" formatCode="0">
                  <c:v>405</c:v>
                </c:pt>
                <c:pt idx="6" formatCode="0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8-4B28-85EE-06D0DD8D0386}"/>
            </c:ext>
          </c:extLst>
        </c:ser>
        <c:ser>
          <c:idx val="1"/>
          <c:order val="1"/>
          <c:tx>
            <c:strRef>
              <c:f>'ABRIL VS MARZO'!$B$31</c:f>
              <c:strCache>
                <c:ptCount val="1"/>
                <c:pt idx="0">
                  <c:v>Turbidez - MAYO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dLbls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MARZO'!$F$31:$L$31</c:f>
              <c:numCache>
                <c:formatCode>0.00</c:formatCode>
                <c:ptCount val="7"/>
                <c:pt idx="0">
                  <c:v>13.1</c:v>
                </c:pt>
                <c:pt idx="1">
                  <c:v>15</c:v>
                </c:pt>
                <c:pt idx="2">
                  <c:v>11.5</c:v>
                </c:pt>
                <c:pt idx="3">
                  <c:v>19.100000000000001</c:v>
                </c:pt>
                <c:pt idx="4">
                  <c:v>29.1</c:v>
                </c:pt>
                <c:pt idx="5" formatCode="0">
                  <c:v>129</c:v>
                </c:pt>
                <c:pt idx="6" formatCode="0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8-4B28-85EE-06D0DD8D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05808"/>
        <c:axId val="506406200"/>
      </c:lineChart>
      <c:catAx>
        <c:axId val="5064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6200"/>
        <c:crosses val="autoZero"/>
        <c:auto val="1"/>
        <c:lblAlgn val="ctr"/>
        <c:lblOffset val="100"/>
        <c:noMultiLvlLbl val="0"/>
      </c:catAx>
      <c:valAx>
        <c:axId val="506406200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5808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17852402911556"/>
          <c:y val="0.66747186252310353"/>
          <c:w val="0.16777060778980674"/>
          <c:h val="8.6593561908433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Indicadores de Contaminación Microbiologica </a:t>
            </a:r>
          </a:p>
          <a:p>
            <a:pPr>
              <a:defRPr lang="es-E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Abril 2022</a:t>
            </a:r>
          </a:p>
        </c:rich>
      </c:tx>
      <c:layout>
        <c:manualLayout>
          <c:xMode val="edge"/>
          <c:yMode val="edge"/>
          <c:x val="0.26131701209762576"/>
          <c:y val="3.70370370370370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microbiologia!$E$2</c:f>
              <c:strCache>
                <c:ptCount val="1"/>
                <c:pt idx="0">
                  <c:v>COLIFORMES TOTALES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7241379310344813E-2"/>
                  <c:y val="-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5A-4E66-9C12-7BFD6C864921}"/>
                </c:ext>
              </c:extLst>
            </c:dLbl>
            <c:dLbl>
              <c:idx val="1"/>
              <c:layout>
                <c:manualLayout>
                  <c:x val="-3.2567049808429158E-2"/>
                  <c:y val="-5.5555555555555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5A-4E66-9C12-7BFD6C864921}"/>
                </c:ext>
              </c:extLst>
            </c:dLbl>
            <c:dLbl>
              <c:idx val="2"/>
              <c:layout>
                <c:manualLayout>
                  <c:x val="-2.4904214559386972E-2"/>
                  <c:y val="-3.2407407407407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5A-4E66-9C12-7BFD6C864921}"/>
                </c:ext>
              </c:extLst>
            </c:dLbl>
            <c:dLbl>
              <c:idx val="3"/>
              <c:layout>
                <c:manualLayout>
                  <c:x val="-2.2988505747126436E-2"/>
                  <c:y val="-4.629629629629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5A-4E66-9C12-7BFD6C864921}"/>
                </c:ext>
              </c:extLst>
            </c:dLbl>
            <c:dLbl>
              <c:idx val="4"/>
              <c:layout>
                <c:manualLayout>
                  <c:x val="-2.8735632183908049E-2"/>
                  <c:y val="-2.77777777777778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5A-4E66-9C12-7BFD6C864921}"/>
                </c:ext>
              </c:extLst>
            </c:dLbl>
            <c:dLbl>
              <c:idx val="5"/>
              <c:layout>
                <c:manualLayout>
                  <c:x val="-3.0651340996168733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5A-4E66-9C12-7BFD6C864921}"/>
                </c:ext>
              </c:extLst>
            </c:dLbl>
            <c:dLbl>
              <c:idx val="6"/>
              <c:layout>
                <c:manualLayout>
                  <c:x val="-2.8735632183908049E-2"/>
                  <c:y val="-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5A-4E66-9C12-7BFD6C86492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microbiologia!$M$3:$S$3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microbiologia!$M$6:$S$6</c:f>
              <c:numCache>
                <c:formatCode>General</c:formatCode>
                <c:ptCount val="7"/>
                <c:pt idx="0">
                  <c:v>150</c:v>
                </c:pt>
                <c:pt idx="1">
                  <c:v>75</c:v>
                </c:pt>
                <c:pt idx="2">
                  <c:v>75</c:v>
                </c:pt>
                <c:pt idx="3">
                  <c:v>43</c:v>
                </c:pt>
                <c:pt idx="4">
                  <c:v>43</c:v>
                </c:pt>
                <c:pt idx="5">
                  <c:v>35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A-4E66-9C12-7BFD6C864921}"/>
            </c:ext>
          </c:extLst>
        </c:ser>
        <c:ser>
          <c:idx val="1"/>
          <c:order val="1"/>
          <c:tx>
            <c:strRef>
              <c:f>microbiologia!$E$9</c:f>
              <c:strCache>
                <c:ptCount val="1"/>
                <c:pt idx="0">
                  <c:v>COLIFORMES TERMOTOLERANTES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145593869731823E-2"/>
                  <c:y val="-3.24074074074075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5A-4E66-9C12-7BFD6C864921}"/>
                </c:ext>
              </c:extLst>
            </c:dLbl>
            <c:dLbl>
              <c:idx val="1"/>
              <c:layout>
                <c:manualLayout>
                  <c:x val="-2.8735632183908049E-2"/>
                  <c:y val="4.1666666666666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5A-4E66-9C12-7BFD6C864921}"/>
                </c:ext>
              </c:extLst>
            </c:dLbl>
            <c:dLbl>
              <c:idx val="2"/>
              <c:layout>
                <c:manualLayout>
                  <c:x val="-7.6628352490421452E-3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5A-4E66-9C12-7BFD6C864921}"/>
                </c:ext>
              </c:extLst>
            </c:dLbl>
            <c:dLbl>
              <c:idx val="3"/>
              <c:layout>
                <c:manualLayout>
                  <c:x val="-3.4482758620689655E-2"/>
                  <c:y val="-4.6296296296296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5A-4E66-9C12-7BFD6C864921}"/>
                </c:ext>
              </c:extLst>
            </c:dLbl>
            <c:dLbl>
              <c:idx val="4"/>
              <c:layout>
                <c:manualLayout>
                  <c:x val="-1.915708812260550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5A-4E66-9C12-7BFD6C864921}"/>
                </c:ext>
              </c:extLst>
            </c:dLbl>
            <c:dLbl>
              <c:idx val="5"/>
              <c:layout>
                <c:manualLayout>
                  <c:x val="-6.7049808429118909E-2"/>
                  <c:y val="-1.697511254402667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5A-4E66-9C12-7BFD6C864921}"/>
                </c:ext>
              </c:extLst>
            </c:dLbl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microbiologia!$M$3:$S$3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microbiologia!$M$13:$S$13</c:f>
              <c:numCache>
                <c:formatCode>General</c:formatCode>
                <c:ptCount val="7"/>
                <c:pt idx="0">
                  <c:v>75</c:v>
                </c:pt>
                <c:pt idx="1">
                  <c:v>43</c:v>
                </c:pt>
                <c:pt idx="2">
                  <c:v>23</c:v>
                </c:pt>
                <c:pt idx="3">
                  <c:v>23</c:v>
                </c:pt>
                <c:pt idx="4">
                  <c:v>15</c:v>
                </c:pt>
                <c:pt idx="5">
                  <c:v>14</c:v>
                </c:pt>
                <c:pt idx="6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A-4E66-9C12-7BFD6C864921}"/>
            </c:ext>
          </c:extLst>
        </c:ser>
        <c:ser>
          <c:idx val="2"/>
          <c:order val="2"/>
          <c:tx>
            <c:strRef>
              <c:f>microbiologia!$E$17</c:f>
              <c:strCache>
                <c:ptCount val="1"/>
                <c:pt idx="0">
                  <c:v>E.COLI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6819923371647514E-2"/>
                  <c:y val="2.777777777777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5A-4E66-9C12-7BFD6C864921}"/>
                </c:ext>
              </c:extLst>
            </c:dLbl>
            <c:dLbl>
              <c:idx val="1"/>
              <c:layout>
                <c:manualLayout>
                  <c:x val="-3.0651340996168588E-2"/>
                  <c:y val="6.0185185185185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C5A-4E66-9C12-7BFD6C864921}"/>
                </c:ext>
              </c:extLst>
            </c:dLbl>
            <c:dLbl>
              <c:idx val="2"/>
              <c:layout>
                <c:manualLayout>
                  <c:x val="-2.4904214559386972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5A-4E66-9C12-7BFD6C864921}"/>
                </c:ext>
              </c:extLst>
            </c:dLbl>
            <c:dLbl>
              <c:idx val="3"/>
              <c:layout>
                <c:manualLayout>
                  <c:x val="-2.1072796934865901E-2"/>
                  <c:y val="5.5555555555555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5A-4E66-9C12-7BFD6C864921}"/>
                </c:ext>
              </c:extLst>
            </c:dLbl>
            <c:dLbl>
              <c:idx val="4"/>
              <c:layout>
                <c:manualLayout>
                  <c:x val="-3.0651340996168588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5A-4E66-9C12-7BFD6C864921}"/>
                </c:ext>
              </c:extLst>
            </c:dLbl>
            <c:dLbl>
              <c:idx val="5"/>
              <c:layout>
                <c:manualLayout>
                  <c:x val="-1.5325670498084433E-2"/>
                  <c:y val="3.2407407407407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5A-4E66-9C12-7BFD6C864921}"/>
                </c:ext>
              </c:extLst>
            </c:dLbl>
            <c:spPr>
              <a:noFill/>
              <a:ln>
                <a:solidFill>
                  <a:srgbClr val="FFFF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microbiologia!$M$3:$S$3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microbiologia!$M$21:$S$21</c:f>
              <c:numCache>
                <c:formatCode>General</c:formatCode>
                <c:ptCount val="7"/>
                <c:pt idx="0">
                  <c:v>3.6</c:v>
                </c:pt>
                <c:pt idx="1">
                  <c:v>3.6</c:v>
                </c:pt>
                <c:pt idx="2">
                  <c:v>3</c:v>
                </c:pt>
                <c:pt idx="3">
                  <c:v>3.6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A-4E66-9C12-7BFD6C86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06984"/>
        <c:axId val="506407376"/>
      </c:lineChart>
      <c:catAx>
        <c:axId val="506406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7376"/>
        <c:crosses val="autoZero"/>
        <c:auto val="1"/>
        <c:lblAlgn val="ctr"/>
        <c:lblOffset val="100"/>
        <c:noMultiLvlLbl val="0"/>
      </c:catAx>
      <c:valAx>
        <c:axId val="506407376"/>
        <c:scaling>
          <c:orientation val="minMax"/>
          <c:max val="17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NMP/ML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6984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Cloruros (Cl-)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MARZO'!$B$38</c:f>
              <c:strCache>
                <c:ptCount val="1"/>
                <c:pt idx="0">
                  <c:v>Cloruros (Cl-) - ABRIL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7825311942959003E-3"/>
                  <c:y val="-3.711952487008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63-4D93-84E9-A872E14D2FFB}"/>
                </c:ext>
              </c:extLst>
            </c:dLbl>
            <c:dLbl>
              <c:idx val="6"/>
              <c:layout>
                <c:manualLayout>
                  <c:x val="-3.2085561497326213E-2"/>
                  <c:y val="-4.4543429844098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63-4D93-84E9-A872E14D2FFB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MARZO'!$F$38:$L$38</c:f>
              <c:numCache>
                <c:formatCode>General</c:formatCode>
                <c:ptCount val="7"/>
                <c:pt idx="0">
                  <c:v>97.6</c:v>
                </c:pt>
                <c:pt idx="1">
                  <c:v>69.8</c:v>
                </c:pt>
                <c:pt idx="2">
                  <c:v>90.7</c:v>
                </c:pt>
                <c:pt idx="3">
                  <c:v>85.7</c:v>
                </c:pt>
                <c:pt idx="4">
                  <c:v>63</c:v>
                </c:pt>
                <c:pt idx="5">
                  <c:v>14.3</c:v>
                </c:pt>
                <c:pt idx="6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3-4D93-84E9-A872E14D2FFB}"/>
            </c:ext>
          </c:extLst>
        </c:ser>
        <c:ser>
          <c:idx val="1"/>
          <c:order val="1"/>
          <c:tx>
            <c:strRef>
              <c:f>'ABRIL VS MARZO'!$B$39</c:f>
              <c:strCache>
                <c:ptCount val="1"/>
                <c:pt idx="0">
                  <c:v>Cloruros (Cl-) - MARZO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MARZO'!$F$39:$L$39</c:f>
              <c:numCache>
                <c:formatCode>General</c:formatCode>
                <c:ptCount val="7"/>
                <c:pt idx="0">
                  <c:v>5.9</c:v>
                </c:pt>
                <c:pt idx="1">
                  <c:v>6.9</c:v>
                </c:pt>
                <c:pt idx="2">
                  <c:v>3.3</c:v>
                </c:pt>
                <c:pt idx="3">
                  <c:v>5.6</c:v>
                </c:pt>
                <c:pt idx="4">
                  <c:v>7.9</c:v>
                </c:pt>
                <c:pt idx="5">
                  <c:v>4.3</c:v>
                </c:pt>
                <c:pt idx="6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63-4D93-84E9-A872E14D2FFB}"/>
            </c:ext>
          </c:extLst>
        </c:ser>
        <c:ser>
          <c:idx val="2"/>
          <c:order val="2"/>
          <c:tx>
            <c:strRef>
              <c:f>'ABRIL VS MARZO'!$B$41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63-4D93-84E9-A872E14D2FF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MARZO'!$F$41:$L$41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63-4D93-84E9-A872E14D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08160"/>
        <c:axId val="506408552"/>
      </c:lineChart>
      <c:catAx>
        <c:axId val="5064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8552"/>
        <c:crosses val="autoZero"/>
        <c:auto val="1"/>
        <c:lblAlgn val="ctr"/>
        <c:lblOffset val="100"/>
        <c:noMultiLvlLbl val="0"/>
      </c:catAx>
      <c:valAx>
        <c:axId val="506408552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8160"/>
        <c:crosses val="autoZero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 (°C)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'JUNIO 2023'!$B$13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DE56A7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DE56A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'JUNIO 2023'!$F$7:$L$7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'JUNIO 2023'!$F$13:$L$13</c:f>
              <c:numCache>
                <c:formatCode>0</c:formatCode>
                <c:ptCount val="7"/>
                <c:pt idx="0">
                  <c:v>24</c:v>
                </c:pt>
                <c:pt idx="1">
                  <c:v>23.8</c:v>
                </c:pt>
                <c:pt idx="2">
                  <c:v>23.9</c:v>
                </c:pt>
                <c:pt idx="3">
                  <c:v>24.1</c:v>
                </c:pt>
                <c:pt idx="4">
                  <c:v>24</c:v>
                </c:pt>
                <c:pt idx="5">
                  <c:v>23.9</c:v>
                </c:pt>
                <c:pt idx="6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2-4BF7-AF78-AA0458C63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09336"/>
        <c:axId val="506409728"/>
      </c:lineChart>
      <c:catAx>
        <c:axId val="50640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9728"/>
        <c:crosses val="autoZero"/>
        <c:auto val="1"/>
        <c:lblAlgn val="ctr"/>
        <c:lblOffset val="100"/>
        <c:noMultiLvlLbl val="0"/>
      </c:catAx>
      <c:valAx>
        <c:axId val="506409728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0933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DUREZA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MARZO'!$B$70</c:f>
              <c:strCache>
                <c:ptCount val="1"/>
                <c:pt idx="0">
                  <c:v>Dureza - ABRIL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MARZO'!$F$70:$L$70</c:f>
              <c:numCache>
                <c:formatCode>General</c:formatCode>
                <c:ptCount val="7"/>
                <c:pt idx="0">
                  <c:v>165</c:v>
                </c:pt>
                <c:pt idx="1">
                  <c:v>175</c:v>
                </c:pt>
                <c:pt idx="2">
                  <c:v>110</c:v>
                </c:pt>
                <c:pt idx="3">
                  <c:v>99</c:v>
                </c:pt>
                <c:pt idx="4">
                  <c:v>125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D-41CB-8167-0A478D49FCB4}"/>
            </c:ext>
          </c:extLst>
        </c:ser>
        <c:ser>
          <c:idx val="1"/>
          <c:order val="1"/>
          <c:tx>
            <c:strRef>
              <c:f>'ABRIL VS MARZO'!$B$71</c:f>
              <c:strCache>
                <c:ptCount val="1"/>
                <c:pt idx="0">
                  <c:v>Dureza - MARZO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MARZO'!$F$71:$L$71</c:f>
              <c:numCache>
                <c:formatCode>General</c:formatCode>
                <c:ptCount val="7"/>
                <c:pt idx="0">
                  <c:v>345</c:v>
                </c:pt>
                <c:pt idx="1">
                  <c:v>370</c:v>
                </c:pt>
                <c:pt idx="2">
                  <c:v>390</c:v>
                </c:pt>
                <c:pt idx="3">
                  <c:v>410</c:v>
                </c:pt>
                <c:pt idx="4">
                  <c:v>370</c:v>
                </c:pt>
                <c:pt idx="5">
                  <c:v>240</c:v>
                </c:pt>
                <c:pt idx="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D-41CB-8167-0A478D49F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0512"/>
        <c:axId val="506410904"/>
      </c:lineChart>
      <c:catAx>
        <c:axId val="5064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0904"/>
        <c:crosses val="autoZero"/>
        <c:auto val="1"/>
        <c:lblAlgn val="ctr"/>
        <c:lblOffset val="100"/>
        <c:noMultiLvlLbl val="0"/>
      </c:catAx>
      <c:valAx>
        <c:axId val="506410904"/>
        <c:scaling>
          <c:orientation val="minMax"/>
          <c:max val="45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0512"/>
        <c:crosses val="autoZero"/>
        <c:crossBetween val="between"/>
        <c:majorUnit val="2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TURBIDEZ NTU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MARZO</a:t>
            </a:r>
            <a:r>
              <a:rPr lang="en-US" sz="1200" baseline="0"/>
              <a:t> - ABRIL - MAYO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37130974061436"/>
          <c:y val="0.15035212475887935"/>
          <c:w val="0.65293074896570458"/>
          <c:h val="0.73684475514404812"/>
        </c:manualLayout>
      </c:layout>
      <c:lineChart>
        <c:grouping val="standard"/>
        <c:varyColors val="0"/>
        <c:ser>
          <c:idx val="0"/>
          <c:order val="0"/>
          <c:tx>
            <c:strRef>
              <c:f>'ABRIL VS MARZO'!$B$29</c:f>
              <c:strCache>
                <c:ptCount val="1"/>
                <c:pt idx="0">
                  <c:v>Turbidez - MARZO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685425270155559E-2"/>
                  <c:y val="-2.5005105091759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98-4C89-9B1B-A44EBB8964C5}"/>
                </c:ext>
              </c:extLst>
            </c:dLbl>
            <c:dLbl>
              <c:idx val="1"/>
              <c:layout>
                <c:manualLayout>
                  <c:x val="-2.7808519729659944E-2"/>
                  <c:y val="-3.572157870251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98-4C89-9B1B-A44EBB8964C5}"/>
                </c:ext>
              </c:extLst>
            </c:dLbl>
            <c:dLbl>
              <c:idx val="2"/>
              <c:layout>
                <c:manualLayout>
                  <c:x val="-3.5753811080991307E-2"/>
                  <c:y val="-2.1432947221508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98-4C89-9B1B-A44EBB8964C5}"/>
                </c:ext>
              </c:extLst>
            </c:dLbl>
            <c:dLbl>
              <c:idx val="3"/>
              <c:layout>
                <c:manualLayout>
                  <c:x val="-3.3767488243158512E-2"/>
                  <c:y val="-2.8577262962010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98-4C89-9B1B-A44EBB8964C5}"/>
                </c:ext>
              </c:extLst>
            </c:dLbl>
            <c:dLbl>
              <c:idx val="4"/>
              <c:layout>
                <c:manualLayout>
                  <c:x val="-4.3699102432322695E-2"/>
                  <c:y val="-2.1432947221508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98-4C89-9B1B-A44EBB8964C5}"/>
                </c:ext>
              </c:extLst>
            </c:dLbl>
            <c:dLbl>
              <c:idx val="5"/>
              <c:layout>
                <c:manualLayout>
                  <c:x val="-5.760336229715271E-2"/>
                  <c:y val="1.0716473610754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98-4C89-9B1B-A44EBB8964C5}"/>
                </c:ext>
              </c:extLst>
            </c:dLbl>
            <c:spPr>
              <a:noFill/>
              <a:ln>
                <a:solidFill>
                  <a:schemeClr val="accent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MARZO'!$F$29:$L$29</c:f>
              <c:numCache>
                <c:formatCode>0.00</c:formatCode>
                <c:ptCount val="7"/>
                <c:pt idx="0">
                  <c:v>61.9</c:v>
                </c:pt>
                <c:pt idx="1">
                  <c:v>19.8</c:v>
                </c:pt>
                <c:pt idx="2">
                  <c:v>31.6</c:v>
                </c:pt>
                <c:pt idx="3">
                  <c:v>33.1</c:v>
                </c:pt>
                <c:pt idx="4">
                  <c:v>57.2</c:v>
                </c:pt>
                <c:pt idx="5" formatCode="0">
                  <c:v>405</c:v>
                </c:pt>
                <c:pt idx="6" formatCode="0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98-4C89-9B1B-A44EBB8964C5}"/>
            </c:ext>
          </c:extLst>
        </c:ser>
        <c:ser>
          <c:idx val="1"/>
          <c:order val="1"/>
          <c:tx>
            <c:strRef>
              <c:f>'ABRIL VS MARZO'!$B$30</c:f>
              <c:strCache>
                <c:ptCount val="1"/>
                <c:pt idx="0">
                  <c:v>Turbidez - ABRIL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6170394593198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98-4C89-9B1B-A44EBB8964C5}"/>
                </c:ext>
              </c:extLst>
            </c:dLbl>
            <c:dLbl>
              <c:idx val="1"/>
              <c:layout>
                <c:manualLayout>
                  <c:x val="-9.9316141891642867E-3"/>
                  <c:y val="2.1432947221508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98-4C89-9B1B-A44EBB8964C5}"/>
                </c:ext>
              </c:extLst>
            </c:dLbl>
            <c:dLbl>
              <c:idx val="2"/>
              <c:layout>
                <c:manualLayout>
                  <c:x val="-3.1781165405325613E-2"/>
                  <c:y val="1.7860789351256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98-4C89-9B1B-A44EBB8964C5}"/>
                </c:ext>
              </c:extLst>
            </c:dLbl>
            <c:dLbl>
              <c:idx val="3"/>
              <c:layout>
                <c:manualLayout>
                  <c:x val="-7.2830996037323443E-17"/>
                  <c:y val="7.14431574050270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98-4C89-9B1B-A44EBB8964C5}"/>
                </c:ext>
              </c:extLst>
            </c:dLbl>
            <c:dLbl>
              <c:idx val="4"/>
              <c:layout>
                <c:manualLayout>
                  <c:x val="-9.931614189164252E-3"/>
                  <c:y val="1.4288631481005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98-4C89-9B1B-A44EBB8964C5}"/>
                </c:ext>
              </c:extLst>
            </c:dLbl>
            <c:spPr>
              <a:noFill/>
              <a:ln>
                <a:solidFill>
                  <a:schemeClr val="accent5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MARZO'!$F$30:$L$30</c:f>
              <c:numCache>
                <c:formatCode>0.00</c:formatCode>
                <c:ptCount val="7"/>
                <c:pt idx="0">
                  <c:v>8.4499999999999993</c:v>
                </c:pt>
                <c:pt idx="1">
                  <c:v>9.59</c:v>
                </c:pt>
                <c:pt idx="2">
                  <c:v>10.199999999999999</c:v>
                </c:pt>
                <c:pt idx="3">
                  <c:v>15.1</c:v>
                </c:pt>
                <c:pt idx="4">
                  <c:v>25.6</c:v>
                </c:pt>
                <c:pt idx="5" formatCode="0">
                  <c:v>190</c:v>
                </c:pt>
                <c:pt idx="6" formatCode="0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98-4C89-9B1B-A44EBB8964C5}"/>
            </c:ext>
          </c:extLst>
        </c:ser>
        <c:ser>
          <c:idx val="2"/>
          <c:order val="2"/>
          <c:tx>
            <c:strRef>
              <c:f>'ABRIL VS MARZO'!$B$31</c:f>
              <c:strCache>
                <c:ptCount val="1"/>
                <c:pt idx="0">
                  <c:v>Turbidez - MAYO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589685134985877E-3"/>
                  <c:y val="-1.0716473610754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298-4C89-9B1B-A44EBB8964C5}"/>
                </c:ext>
              </c:extLst>
            </c:dLbl>
            <c:dLbl>
              <c:idx val="1"/>
              <c:layout>
                <c:manualLayout>
                  <c:x val="1.9863228378328504E-3"/>
                  <c:y val="-3.57215787025135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98-4C89-9B1B-A44EBB8964C5}"/>
                </c:ext>
              </c:extLst>
            </c:dLbl>
            <c:dLbl>
              <c:idx val="2"/>
              <c:layout>
                <c:manualLayout>
                  <c:x val="-5.9589685134985512E-3"/>
                  <c:y val="-1.0716473610754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298-4C89-9B1B-A44EBB8964C5}"/>
                </c:ext>
              </c:extLst>
            </c:dLbl>
            <c:dLbl>
              <c:idx val="3"/>
              <c:layout>
                <c:manualLayout>
                  <c:x val="-7.2830996037323443E-17"/>
                  <c:y val="-1.4288631481005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98-4C89-9B1B-A44EBB8964C5}"/>
                </c:ext>
              </c:extLst>
            </c:dLbl>
            <c:dLbl>
              <c:idx val="4"/>
              <c:layout>
                <c:manualLayout>
                  <c:x val="1.9863228378328504E-3"/>
                  <c:y val="-2.5005105091759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98-4C89-9B1B-A44EBB8964C5}"/>
                </c:ext>
              </c:extLst>
            </c:dLbl>
            <c:spPr>
              <a:noFill/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MARZO'!$F$31:$L$31</c:f>
              <c:numCache>
                <c:formatCode>0.00</c:formatCode>
                <c:ptCount val="7"/>
                <c:pt idx="0">
                  <c:v>13.1</c:v>
                </c:pt>
                <c:pt idx="1">
                  <c:v>15</c:v>
                </c:pt>
                <c:pt idx="2">
                  <c:v>11.5</c:v>
                </c:pt>
                <c:pt idx="3">
                  <c:v>19.100000000000001</c:v>
                </c:pt>
                <c:pt idx="4">
                  <c:v>29.1</c:v>
                </c:pt>
                <c:pt idx="5" formatCode="0">
                  <c:v>129</c:v>
                </c:pt>
                <c:pt idx="6" formatCode="0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298-4C89-9B1B-A44EBB89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11688"/>
        <c:axId val="506412080"/>
      </c:lineChart>
      <c:catAx>
        <c:axId val="50641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2080"/>
        <c:crosses val="autoZero"/>
        <c:auto val="1"/>
        <c:lblAlgn val="ctr"/>
        <c:lblOffset val="100"/>
        <c:noMultiLvlLbl val="0"/>
      </c:catAx>
      <c:valAx>
        <c:axId val="506412080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1688"/>
        <c:crosses val="autoZero"/>
        <c:crossBetween val="between"/>
        <c:majorUnit val="5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Sulfatos  (SO₄²-) - 2022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MARZO'!$B$33</c:f>
              <c:strCache>
                <c:ptCount val="1"/>
                <c:pt idx="0">
                  <c:v>Sulfatos  (SO₄²-) - ABRIL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085561497326213E-2"/>
                  <c:y val="2.5983667409057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3E-4E5D-9740-5E44CC4B5C36}"/>
                </c:ext>
              </c:extLst>
            </c:dLbl>
            <c:dLbl>
              <c:idx val="3"/>
              <c:layout>
                <c:manualLayout>
                  <c:x val="-1.6042780748663107E-2"/>
                  <c:y val="-4.4543429844098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3E-4E5D-9740-5E44CC4B5C36}"/>
                </c:ext>
              </c:extLst>
            </c:dLbl>
            <c:dLbl>
              <c:idx val="4"/>
              <c:layout>
                <c:manualLayout>
                  <c:x val="-3.2085561497326276E-2"/>
                  <c:y val="2.5983667409057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3E-4E5D-9740-5E44CC4B5C36}"/>
                </c:ext>
              </c:extLst>
            </c:dLbl>
            <c:dLbl>
              <c:idx val="5"/>
              <c:layout>
                <c:manualLayout>
                  <c:x val="-1.06951871657754E-2"/>
                  <c:y val="-3.3407572383073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3E-4E5D-9740-5E44CC4B5C36}"/>
                </c:ext>
              </c:extLst>
            </c:dLbl>
            <c:dLbl>
              <c:idx val="6"/>
              <c:layout>
                <c:manualLayout>
                  <c:x val="-1.0695187165775534E-2"/>
                  <c:y val="-3.3407572383073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3E-4E5D-9740-5E44CC4B5C36}"/>
                </c:ext>
              </c:extLst>
            </c:dLbl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MARZO'!$F$33:$L$33</c:f>
              <c:numCache>
                <c:formatCode>General</c:formatCode>
                <c:ptCount val="7"/>
                <c:pt idx="0">
                  <c:v>140</c:v>
                </c:pt>
                <c:pt idx="1">
                  <c:v>108</c:v>
                </c:pt>
                <c:pt idx="2">
                  <c:v>118</c:v>
                </c:pt>
                <c:pt idx="3">
                  <c:v>240</c:v>
                </c:pt>
                <c:pt idx="4">
                  <c:v>100</c:v>
                </c:pt>
                <c:pt idx="5">
                  <c:v>74</c:v>
                </c:pt>
                <c:pt idx="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3E-4E5D-9740-5E44CC4B5C36}"/>
            </c:ext>
          </c:extLst>
        </c:ser>
        <c:ser>
          <c:idx val="1"/>
          <c:order val="1"/>
          <c:tx>
            <c:strRef>
              <c:f>'ABRIL VS MARZO'!$B$34</c:f>
              <c:strCache>
                <c:ptCount val="1"/>
                <c:pt idx="0">
                  <c:v>Sulfatos  (SO₄²-) - MARZO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085561497326213E-2"/>
                  <c:y val="-2.5983667409057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3E-4E5D-9740-5E44CC4B5C36}"/>
                </c:ext>
              </c:extLst>
            </c:dLbl>
            <c:dLbl>
              <c:idx val="1"/>
              <c:layout>
                <c:manualLayout>
                  <c:x val="-1.9607843137254933E-2"/>
                  <c:y val="-2.5983667409057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3E-4E5D-9740-5E44CC4B5C36}"/>
                </c:ext>
              </c:extLst>
            </c:dLbl>
            <c:dLbl>
              <c:idx val="2"/>
              <c:layout>
                <c:manualLayout>
                  <c:x val="-2.6737967914438578E-2"/>
                  <c:y val="-3.3407572383073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3E-4E5D-9740-5E44CC4B5C36}"/>
                </c:ext>
              </c:extLst>
            </c:dLbl>
            <c:dLbl>
              <c:idx val="3"/>
              <c:layout>
                <c:manualLayout>
                  <c:x val="-1.7825311942959002E-2"/>
                  <c:y val="1.855976243504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3E-4E5D-9740-5E44CC4B5C36}"/>
                </c:ext>
              </c:extLst>
            </c:dLbl>
            <c:dLbl>
              <c:idx val="5"/>
              <c:layout>
                <c:manualLayout>
                  <c:x val="-3.2085561497326213E-2"/>
                  <c:y val="2.227171492204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3E-4E5D-9740-5E44CC4B5C36}"/>
                </c:ext>
              </c:extLst>
            </c:dLbl>
            <c:dLbl>
              <c:idx val="6"/>
              <c:layout>
                <c:manualLayout>
                  <c:x val="-2.1390374331550797E-2"/>
                  <c:y val="2.227171492204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3E-4E5D-9740-5E44CC4B5C36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MARZO'!$F$34:$L$34</c:f>
              <c:numCache>
                <c:formatCode>General</c:formatCode>
                <c:ptCount val="7"/>
                <c:pt idx="0">
                  <c:v>140</c:v>
                </c:pt>
                <c:pt idx="1">
                  <c:v>132</c:v>
                </c:pt>
                <c:pt idx="2">
                  <c:v>138</c:v>
                </c:pt>
                <c:pt idx="3">
                  <c:v>136</c:v>
                </c:pt>
                <c:pt idx="4">
                  <c:v>134</c:v>
                </c:pt>
                <c:pt idx="5">
                  <c:v>65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3E-4E5D-9740-5E44CC4B5C36}"/>
            </c:ext>
          </c:extLst>
        </c:ser>
        <c:ser>
          <c:idx val="3"/>
          <c:order val="2"/>
          <c:tx>
            <c:strRef>
              <c:f>'ABRIL VS MARZO'!$B$35</c:f>
              <c:strCache>
                <c:ptCount val="1"/>
                <c:pt idx="0">
                  <c:v>Sulfatos  (SO₄²-) - MAYO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3.5650623885918006E-3"/>
                  <c:y val="-2.0618556701030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3E-4E5D-9740-5E44CC4B5C36}"/>
                </c:ext>
              </c:extLst>
            </c:dLbl>
            <c:dLbl>
              <c:idx val="5"/>
              <c:layout>
                <c:manualLayout>
                  <c:x val="3.56506238859167E-3"/>
                  <c:y val="1.0309278350515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33E-4E5D-9740-5E44CC4B5C36}"/>
                </c:ext>
              </c:extLst>
            </c:dLbl>
            <c:dLbl>
              <c:idx val="6"/>
              <c:layout>
                <c:manualLayout>
                  <c:x val="5.3475935828877002E-3"/>
                  <c:y val="3.0927835051546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3E-4E5D-9740-5E44CC4B5C36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MARZO'!$F$35:$L$35</c:f>
              <c:numCache>
                <c:formatCode>General</c:formatCode>
                <c:ptCount val="7"/>
                <c:pt idx="0">
                  <c:v>198</c:v>
                </c:pt>
                <c:pt idx="1">
                  <c:v>111</c:v>
                </c:pt>
                <c:pt idx="2">
                  <c:v>192</c:v>
                </c:pt>
                <c:pt idx="3">
                  <c:v>213</c:v>
                </c:pt>
                <c:pt idx="4">
                  <c:v>189</c:v>
                </c:pt>
                <c:pt idx="5">
                  <c:v>84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3E-4E5D-9740-5E44CC4B5C36}"/>
            </c:ext>
          </c:extLst>
        </c:ser>
        <c:ser>
          <c:idx val="2"/>
          <c:order val="3"/>
          <c:tx>
            <c:strRef>
              <c:f>'ABRIL VS MARZO'!$B$36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MARZO'!$F$36:$L$36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3E-4E5D-9740-5E44CC4B5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2864"/>
        <c:axId val="506413256"/>
      </c:lineChart>
      <c:catAx>
        <c:axId val="5064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3256"/>
        <c:crosses val="autoZero"/>
        <c:auto val="1"/>
        <c:lblAlgn val="ctr"/>
        <c:lblOffset val="100"/>
        <c:noMultiLvlLbl val="0"/>
      </c:catAx>
      <c:valAx>
        <c:axId val="506413256"/>
        <c:scaling>
          <c:orientation val="minMax"/>
          <c:max val="10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2864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Conductividad Eléctrica</a:t>
            </a:r>
          </a:p>
        </c:rich>
      </c:tx>
      <c:layout>
        <c:manualLayout>
          <c:xMode val="edge"/>
          <c:yMode val="edge"/>
          <c:x val="0.32356933508311458"/>
          <c:y val="3.24074074074074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4025438168525"/>
          <c:y val="0.13438405797101452"/>
          <c:w val="0.48617769288645463"/>
          <c:h val="0.46026503480543185"/>
        </c:manualLayout>
      </c:layout>
      <c:lineChart>
        <c:grouping val="standard"/>
        <c:varyColors val="0"/>
        <c:ser>
          <c:idx val="0"/>
          <c:order val="0"/>
          <c:tx>
            <c:strRef>
              <c:f>'JUNIO 2023'!$B$10</c:f>
              <c:strCache>
                <c:ptCount val="1"/>
                <c:pt idx="0">
                  <c:v>Conductividad Eléctrica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'JUNIO 2023'!$F$7:$L$7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'JUNIO 2023'!$F$10:$L$10</c:f>
              <c:numCache>
                <c:formatCode>_ * #,##0_ ;_ * \-#,##0_ ;_ * "-"??_ ;_ @_ </c:formatCode>
                <c:ptCount val="7"/>
                <c:pt idx="0">
                  <c:v>3440</c:v>
                </c:pt>
                <c:pt idx="1">
                  <c:v>2330</c:v>
                </c:pt>
                <c:pt idx="2">
                  <c:v>2990</c:v>
                </c:pt>
                <c:pt idx="3">
                  <c:v>2800</c:v>
                </c:pt>
                <c:pt idx="4">
                  <c:v>2510</c:v>
                </c:pt>
                <c:pt idx="5">
                  <c:v>303</c:v>
                </c:pt>
                <c:pt idx="6" formatCode="0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E-48D9-831A-4BBFCB659E8C}"/>
            </c:ext>
          </c:extLst>
        </c:ser>
        <c:ser>
          <c:idx val="1"/>
          <c:order val="1"/>
          <c:tx>
            <c:strRef>
              <c:f>'ABRIL VS MARZO'!$B$9</c:f>
              <c:strCache>
                <c:ptCount val="1"/>
                <c:pt idx="0">
                  <c:v>LMP-DS N° 004-2017 - RIEGO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EE-48D9-831A-4BBFCB659E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'JUNIO 2023'!$F$7:$L$7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MARZO'!$F$9:$L$9</c:f>
              <c:numCache>
                <c:formatCode>_ * #,##0_ ;_ * \-#,##0_ ;_ * "-"??_ ;_ @_ </c:formatCode>
                <c:ptCount val="7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E-48D9-831A-4BBFCB659E8C}"/>
            </c:ext>
          </c:extLst>
        </c:ser>
        <c:ser>
          <c:idx val="2"/>
          <c:order val="2"/>
          <c:tx>
            <c:strRef>
              <c:f>'ABRIL VS MARZO'!$B$12</c:f>
              <c:strCache>
                <c:ptCount val="1"/>
                <c:pt idx="0">
                  <c:v>LMP-DS N° 004-2017 - BEBIDA ANIMALES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EE-48D9-831A-4BBFCB659E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'JUNIO 2023'!$F$7:$L$7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MARZO'!$F$12:$L$12</c:f>
              <c:numCache>
                <c:formatCode>_ * #,##0_ ;_ * \-#,##0_ ;_ * "-"??_ ;_ @_ </c:formatCode>
                <c:ptCount val="7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EE-48D9-831A-4BBFCB659E8C}"/>
            </c:ext>
          </c:extLst>
        </c:ser>
        <c:ser>
          <c:idx val="3"/>
          <c:order val="3"/>
          <c:tx>
            <c:strRef>
              <c:f>'ABRIL VS MARZO'!$B$11</c:f>
              <c:strCache>
                <c:ptCount val="1"/>
                <c:pt idx="0">
                  <c:v>Conductividad Eléctrica - MAYO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275956284153014E-2"/>
                  <c:y val="-1.9230769230769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EE-48D9-831A-4BBFCB659E8C}"/>
                </c:ext>
              </c:extLst>
            </c:dLbl>
            <c:dLbl>
              <c:idx val="1"/>
              <c:layout>
                <c:manualLayout>
                  <c:x val="-4.9521857923497302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EE-48D9-831A-4BBFCB659E8C}"/>
                </c:ext>
              </c:extLst>
            </c:dLbl>
            <c:dLbl>
              <c:idx val="2"/>
              <c:layout>
                <c:manualLayout>
                  <c:x val="-2.5614754098360688E-2"/>
                  <c:y val="5.128205128205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EE-48D9-831A-4BBFCB659E8C}"/>
                </c:ext>
              </c:extLst>
            </c:dLbl>
            <c:dLbl>
              <c:idx val="3"/>
              <c:layout>
                <c:manualLayout>
                  <c:x val="6.9025027822883604E-3"/>
                  <c:y val="-6.8840579710144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EE-48D9-831A-4BBFCB659E8C}"/>
                </c:ext>
              </c:extLst>
            </c:dLbl>
            <c:dLbl>
              <c:idx val="4"/>
              <c:layout>
                <c:manualLayout>
                  <c:x val="-5.8060109289617488E-2"/>
                  <c:y val="5.128205128205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EE-48D9-831A-4BBFCB659E8C}"/>
                </c:ext>
              </c:extLst>
            </c:dLbl>
            <c:dLbl>
              <c:idx val="5"/>
              <c:layout>
                <c:manualLayout>
                  <c:x val="-1.5368852459016459E-2"/>
                  <c:y val="-2.884615384615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EE-48D9-831A-4BBFCB659E8C}"/>
                </c:ext>
              </c:extLst>
            </c:dLbl>
            <c:dLbl>
              <c:idx val="6"/>
              <c:layout>
                <c:manualLayout>
                  <c:x val="-1.5368852459016395E-2"/>
                  <c:y val="-3.2051282051282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EE-48D9-831A-4BBFCB659E8C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VS MARZO'!$F$11:$L$11</c:f>
              <c:numCache>
                <c:formatCode>_ * #,##0_ ;_ * \-#,##0_ ;_ * "-"??_ ;_ @_ </c:formatCode>
                <c:ptCount val="7"/>
                <c:pt idx="0">
                  <c:v>3540</c:v>
                </c:pt>
                <c:pt idx="1">
                  <c:v>2350</c:v>
                </c:pt>
                <c:pt idx="2">
                  <c:v>2060</c:v>
                </c:pt>
                <c:pt idx="3">
                  <c:v>2670</c:v>
                </c:pt>
                <c:pt idx="4">
                  <c:v>2360</c:v>
                </c:pt>
                <c:pt idx="5" formatCode="General">
                  <c:v>315</c:v>
                </c:pt>
                <c:pt idx="6" formatCode="General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EE-48D9-831A-4BBFCB65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4040"/>
        <c:axId val="506414432"/>
      </c:lineChart>
      <c:catAx>
        <c:axId val="50641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4432"/>
        <c:crosses val="autoZero"/>
        <c:auto val="1"/>
        <c:lblAlgn val="ctr"/>
        <c:lblOffset val="100"/>
        <c:noMultiLvlLbl val="0"/>
      </c:catAx>
      <c:valAx>
        <c:axId val="506414432"/>
        <c:scaling>
          <c:orientation val="minMax"/>
          <c:max val="55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404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70297950790048"/>
          <c:y val="0.4412104168797083"/>
          <c:w val="0.30862497848629583"/>
          <c:h val="0.21634766807995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pH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ABRIL</a:t>
            </a:r>
            <a:r>
              <a:rPr lang="en-US" b="1" baseline="0"/>
              <a:t> - MAYO</a:t>
            </a:r>
            <a:endParaRPr lang="en-US" b="1"/>
          </a:p>
        </c:rich>
      </c:tx>
      <c:layout>
        <c:manualLayout>
          <c:xMode val="edge"/>
          <c:yMode val="edge"/>
          <c:x val="0.42250527516075498"/>
          <c:y val="3.24073362780871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MARZO'!$B$15</c:f>
              <c:strCache>
                <c:ptCount val="1"/>
                <c:pt idx="0">
                  <c:v>pH - ABRIL</c:v>
                </c:pt>
              </c:strCache>
            </c:strRef>
          </c:tx>
          <c:spPr>
            <a:ln w="28575" cap="rnd">
              <a:solidFill>
                <a:srgbClr val="DE56A7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1504171303814023E-2"/>
                  <c:y val="3.0737704918032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5-410B-900A-6BFDE6B87E37}"/>
                </c:ext>
              </c:extLst>
            </c:dLbl>
            <c:spPr>
              <a:solidFill>
                <a:srgbClr val="DE56A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MARZO'!$F$15:$L$15</c:f>
              <c:numCache>
                <c:formatCode>0.00</c:formatCode>
                <c:ptCount val="7"/>
                <c:pt idx="0">
                  <c:v>8.3829999999999991</c:v>
                </c:pt>
                <c:pt idx="1">
                  <c:v>8.26</c:v>
                </c:pt>
                <c:pt idx="2">
                  <c:v>7.9619999999999997</c:v>
                </c:pt>
                <c:pt idx="3">
                  <c:v>7.944</c:v>
                </c:pt>
                <c:pt idx="4">
                  <c:v>7.9829999999999997</c:v>
                </c:pt>
                <c:pt idx="5">
                  <c:v>8.4410000000000007</c:v>
                </c:pt>
                <c:pt idx="6">
                  <c:v>8.2530000000000001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5-410B-900A-6BFDE6B87E37}"/>
            </c:ext>
          </c:extLst>
        </c:ser>
        <c:ser>
          <c:idx val="3"/>
          <c:order val="1"/>
          <c:tx>
            <c:strRef>
              <c:f>'ABRIL VS MARZO'!$B$16</c:f>
              <c:strCache>
                <c:ptCount val="1"/>
                <c:pt idx="0">
                  <c:v>ph - MAYO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MARZO'!$F$16:$L$16</c:f>
              <c:numCache>
                <c:formatCode>0.00</c:formatCode>
                <c:ptCount val="7"/>
                <c:pt idx="0">
                  <c:v>7.23</c:v>
                </c:pt>
                <c:pt idx="1">
                  <c:v>7.2</c:v>
                </c:pt>
                <c:pt idx="2">
                  <c:v>7.29</c:v>
                </c:pt>
                <c:pt idx="3">
                  <c:v>7.29</c:v>
                </c:pt>
                <c:pt idx="4">
                  <c:v>7.34</c:v>
                </c:pt>
                <c:pt idx="5">
                  <c:v>7.01</c:v>
                </c:pt>
                <c:pt idx="6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75-410B-900A-6BFDE6B87E37}"/>
            </c:ext>
          </c:extLst>
        </c:ser>
        <c:ser>
          <c:idx val="1"/>
          <c:order val="2"/>
          <c:tx>
            <c:strRef>
              <c:f>'ABRIL VS MARZO'!$B$14</c:f>
              <c:strCache>
                <c:ptCount val="1"/>
                <c:pt idx="0">
                  <c:v>LMP-DS N° 004-2017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5-410B-900A-6BFDE6B87E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2022'!#REF!</c:f>
              <c:numCache>
                <c:formatCode>General</c:formatCode>
                <c:ptCount val="7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75-410B-900A-6BFDE6B87E37}"/>
            </c:ext>
          </c:extLst>
        </c:ser>
        <c:ser>
          <c:idx val="2"/>
          <c:order val="3"/>
          <c:tx>
            <c:strRef>
              <c:f>'ABRIL VS MARZO'!$B$17</c:f>
              <c:strCache>
                <c:ptCount val="1"/>
                <c:pt idx="0">
                  <c:v>LMP-DS N° 004-2017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75-410B-900A-6BFDE6B87E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MARZO'!$F$17:$L$17</c:f>
              <c:numCache>
                <c:formatCode>General</c:formatCode>
                <c:ptCount val="7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75-410B-900A-6BFDE6B8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5216"/>
        <c:axId val="506415608"/>
      </c:lineChart>
      <c:catAx>
        <c:axId val="5064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5608"/>
        <c:crosses val="autoZero"/>
        <c:auto val="1"/>
        <c:lblAlgn val="ctr"/>
        <c:lblOffset val="100"/>
        <c:noMultiLvlLbl val="0"/>
      </c:catAx>
      <c:valAx>
        <c:axId val="506415608"/>
        <c:scaling>
          <c:orientation val="minMax"/>
          <c:max val="10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521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80354969811061661"/>
          <c:y val="0.70255609698377863"/>
          <c:w val="0.19645030188938353"/>
          <c:h val="0.17290080030979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Sólidos Totales  Disueltos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ABRIL - MAYO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02580927384075"/>
          <c:y val="0.19114441416893735"/>
          <c:w val="0.44468066491688546"/>
          <c:h val="0.4290133522138071"/>
        </c:manualLayout>
      </c:layout>
      <c:lineChart>
        <c:grouping val="standard"/>
        <c:varyColors val="0"/>
        <c:ser>
          <c:idx val="0"/>
          <c:order val="0"/>
          <c:tx>
            <c:strRef>
              <c:f>'ABRIL VS MARZO'!$B$19</c:f>
              <c:strCache>
                <c:ptCount val="1"/>
                <c:pt idx="0">
                  <c:v>Sólidos Totales  Disueltos - ABRIL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1111111111111115E-2"/>
                  <c:y val="1.8165304268846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2-4F54-898B-54141D43010E}"/>
                </c:ext>
              </c:extLst>
            </c:dLbl>
            <c:dLbl>
              <c:idx val="2"/>
              <c:layout>
                <c:manualLayout>
                  <c:x val="-4.7222222222222228E-2"/>
                  <c:y val="4.54132606721162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C2-4F54-898B-54141D43010E}"/>
                </c:ext>
              </c:extLst>
            </c:dLbl>
            <c:dLbl>
              <c:idx val="3"/>
              <c:layout>
                <c:manualLayout>
                  <c:x val="-3.3333333333333381E-2"/>
                  <c:y val="6.3578564940962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C2-4F54-898B-54141D43010E}"/>
                </c:ext>
              </c:extLst>
            </c:dLbl>
            <c:dLbl>
              <c:idx val="4"/>
              <c:layout>
                <c:manualLayout>
                  <c:x val="-4.1666666666666664E-2"/>
                  <c:y val="8.6285195277020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C2-4F54-898B-54141D43010E}"/>
                </c:ext>
              </c:extLst>
            </c:dLbl>
            <c:dLbl>
              <c:idx val="5"/>
              <c:layout>
                <c:manualLayout>
                  <c:x val="-7.5000000000000011E-2"/>
                  <c:y val="1.3623978201634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C2-4F54-898B-54141D43010E}"/>
                </c:ext>
              </c:extLst>
            </c:dLbl>
            <c:dLbl>
              <c:idx val="6"/>
              <c:layout>
                <c:manualLayout>
                  <c:x val="-1.0185067526416003E-16"/>
                  <c:y val="-9.5367847411444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C2-4F54-898B-54141D43010E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MARZO'!$F$19:$L$19</c:f>
              <c:numCache>
                <c:formatCode>_ * #,##0_ ;_ * \-#,##0_ ;_ * "-"??_ ;_ @_ </c:formatCode>
                <c:ptCount val="7"/>
                <c:pt idx="0">
                  <c:v>1700</c:v>
                </c:pt>
                <c:pt idx="1">
                  <c:v>1125</c:v>
                </c:pt>
                <c:pt idx="2">
                  <c:v>1500</c:v>
                </c:pt>
                <c:pt idx="3">
                  <c:v>1350</c:v>
                </c:pt>
                <c:pt idx="4">
                  <c:v>1130</c:v>
                </c:pt>
                <c:pt idx="5">
                  <c:v>131.5</c:v>
                </c:pt>
                <c:pt idx="6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C2-4F54-898B-54141D43010E}"/>
            </c:ext>
          </c:extLst>
        </c:ser>
        <c:ser>
          <c:idx val="1"/>
          <c:order val="1"/>
          <c:tx>
            <c:strRef>
              <c:f>'ABRIL VS MARZO'!$B$20</c:f>
              <c:strCache>
                <c:ptCount val="1"/>
                <c:pt idx="0">
                  <c:v>Sólidos Totales  Disueltos - MAYO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6111111111111142E-2"/>
                  <c:y val="4.54132606721162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C2-4F54-898B-54141D43010E}"/>
                </c:ext>
              </c:extLst>
            </c:dLbl>
            <c:dLbl>
              <c:idx val="2"/>
              <c:layout>
                <c:manualLayout>
                  <c:x val="-8.333333333333335E-3"/>
                  <c:y val="-4.0871934604904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C2-4F54-898B-54141D43010E}"/>
                </c:ext>
              </c:extLst>
            </c:dLbl>
            <c:dLbl>
              <c:idx val="4"/>
              <c:layout>
                <c:manualLayout>
                  <c:x val="1.1111111111111115E-2"/>
                  <c:y val="1.8165304268846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C2-4F54-898B-54141D43010E}"/>
                </c:ext>
              </c:extLst>
            </c:dLbl>
            <c:dLbl>
              <c:idx val="6"/>
              <c:layout>
                <c:manualLayout>
                  <c:x val="1.6666666666666569E-2"/>
                  <c:y val="4.5413260672116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FC2-4F54-898B-54141D43010E}"/>
                </c:ext>
              </c:extLst>
            </c:dLbl>
            <c:spPr>
              <a:solidFill>
                <a:srgbClr val="FF66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MARZO'!$F$20:$L$20</c:f>
              <c:numCache>
                <c:formatCode>_ * #,##0_ ;_ * \-#,##0_ ;_ * "-"??_ ;_ @_ </c:formatCode>
                <c:ptCount val="7"/>
                <c:pt idx="0">
                  <c:v>1167</c:v>
                </c:pt>
                <c:pt idx="1">
                  <c:v>1151</c:v>
                </c:pt>
                <c:pt idx="2">
                  <c:v>1524</c:v>
                </c:pt>
                <c:pt idx="3">
                  <c:v>1318</c:v>
                </c:pt>
                <c:pt idx="4">
                  <c:v>1160</c:v>
                </c:pt>
                <c:pt idx="5">
                  <c:v>156.4</c:v>
                </c:pt>
                <c:pt idx="6">
                  <c:v>156.5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FC2-4F54-898B-54141D430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6392"/>
        <c:axId val="506416784"/>
      </c:lineChart>
      <c:catAx>
        <c:axId val="50641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6784"/>
        <c:crosses val="autoZero"/>
        <c:auto val="1"/>
        <c:lblAlgn val="ctr"/>
        <c:lblOffset val="100"/>
        <c:noMultiLvlLbl val="0"/>
      </c:catAx>
      <c:valAx>
        <c:axId val="50641678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639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92869641294846"/>
          <c:y val="0.40597059223182935"/>
          <c:w val="0.33973797025371832"/>
          <c:h val="0.25204574223862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 (°C)</a:t>
            </a:r>
          </a:p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ABRIL - MAYO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MARZO'!$B$22</c:f>
              <c:strCache>
                <c:ptCount val="1"/>
                <c:pt idx="0">
                  <c:v>Temperatura - ABRIL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285465622280247E-2"/>
                  <c:y val="3.3039647577092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D-4D99-85EC-FCD3F1B39011}"/>
                </c:ext>
              </c:extLst>
            </c:dLbl>
            <c:dLbl>
              <c:idx val="1"/>
              <c:layout>
                <c:manualLayout>
                  <c:x val="-3.2637075718015683E-2"/>
                  <c:y val="3.67107195301027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D-4D99-85EC-FCD3F1B39011}"/>
                </c:ext>
              </c:extLst>
            </c:dLbl>
            <c:dLbl>
              <c:idx val="2"/>
              <c:layout>
                <c:manualLayout>
                  <c:x val="-2.8285465622280247E-2"/>
                  <c:y val="2.9368575624082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D-4D99-85EC-FCD3F1B39011}"/>
                </c:ext>
              </c:extLst>
            </c:dLbl>
            <c:dLbl>
              <c:idx val="3"/>
              <c:layout>
                <c:manualLayout>
                  <c:x val="-2.1758050478677916E-3"/>
                  <c:y val="2.9368575624082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5D-4D99-85EC-FCD3F1B39011}"/>
                </c:ext>
              </c:extLst>
            </c:dLbl>
            <c:dLbl>
              <c:idx val="4"/>
              <c:layout>
                <c:manualLayout>
                  <c:x val="-2.6109660574412538E-2"/>
                  <c:y val="3.3039647577092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5D-4D99-85EC-FCD3F1B39011}"/>
                </c:ext>
              </c:extLst>
            </c:dLbl>
            <c:dLbl>
              <c:idx val="6"/>
              <c:layout>
                <c:manualLayout>
                  <c:x val="0"/>
                  <c:y val="-2.20264317180616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5D-4D99-85EC-FCD3F1B39011}"/>
                </c:ext>
              </c:extLst>
            </c:dLbl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MARZO'!$F$22:$L$22</c:f>
              <c:numCache>
                <c:formatCode>General</c:formatCode>
                <c:ptCount val="7"/>
                <c:pt idx="0">
                  <c:v>26.5</c:v>
                </c:pt>
                <c:pt idx="1">
                  <c:v>26.1</c:v>
                </c:pt>
                <c:pt idx="2">
                  <c:v>25.7</c:v>
                </c:pt>
                <c:pt idx="3">
                  <c:v>25.9</c:v>
                </c:pt>
                <c:pt idx="4">
                  <c:v>25.9</c:v>
                </c:pt>
                <c:pt idx="5">
                  <c:v>24.9</c:v>
                </c:pt>
                <c:pt idx="6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5D-4D99-85EC-FCD3F1B39011}"/>
            </c:ext>
          </c:extLst>
        </c:ser>
        <c:ser>
          <c:idx val="1"/>
          <c:order val="1"/>
          <c:tx>
            <c:strRef>
              <c:f>'ABRIL VS MARZO'!$B$23</c:f>
              <c:strCache>
                <c:ptCount val="1"/>
                <c:pt idx="0">
                  <c:v>Temperatura - MAYO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MARZO'!$F$6:$L$7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MARZO'!$F$23:$L$23</c:f>
              <c:numCache>
                <c:formatCode>0.0</c:formatCode>
                <c:ptCount val="7"/>
                <c:pt idx="0">
                  <c:v>27</c:v>
                </c:pt>
                <c:pt idx="1">
                  <c:v>26.3</c:v>
                </c:pt>
                <c:pt idx="2">
                  <c:v>26.7</c:v>
                </c:pt>
                <c:pt idx="3">
                  <c:v>26.7</c:v>
                </c:pt>
                <c:pt idx="4">
                  <c:v>26.6</c:v>
                </c:pt>
                <c:pt idx="5">
                  <c:v>23.2</c:v>
                </c:pt>
                <c:pt idx="6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5D-4D99-85EC-FCD3F1B3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7568"/>
        <c:axId val="506417960"/>
      </c:lineChart>
      <c:catAx>
        <c:axId val="50641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7960"/>
        <c:crosses val="autoZero"/>
        <c:auto val="1"/>
        <c:lblAlgn val="ctr"/>
        <c:lblOffset val="100"/>
        <c:noMultiLvlLbl val="0"/>
      </c:catAx>
      <c:valAx>
        <c:axId val="506417960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756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Cloruros (Cl-)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MARZO'!$B$38</c:f>
              <c:strCache>
                <c:ptCount val="1"/>
                <c:pt idx="0">
                  <c:v>Cloruros (Cl-) - ABRIL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955436720142634E-2"/>
                  <c:y val="-2.5983667409057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AB-4F00-9C04-A2B18B5A0DEE}"/>
                </c:ext>
              </c:extLst>
            </c:dLbl>
            <c:dLbl>
              <c:idx val="4"/>
              <c:layout>
                <c:manualLayout>
                  <c:x val="-1.06951871657754E-2"/>
                  <c:y val="-2.227171492204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AB-4F00-9C04-A2B18B5A0DEE}"/>
                </c:ext>
              </c:extLst>
            </c:dLbl>
            <c:dLbl>
              <c:idx val="5"/>
              <c:layout>
                <c:manualLayout>
                  <c:x val="-1.7825311942959002E-2"/>
                  <c:y val="-6.3103192279138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AB-4F00-9C04-A2B18B5A0DEE}"/>
                </c:ext>
              </c:extLst>
            </c:dLbl>
            <c:dLbl>
              <c:idx val="6"/>
              <c:layout>
                <c:manualLayout>
                  <c:x val="-4.4563279857397518E-2"/>
                  <c:y val="-4.8255382331106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AB-4F00-9C04-A2B18B5A0DEE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MARZO'!$F$38:$L$38</c:f>
              <c:numCache>
                <c:formatCode>General</c:formatCode>
                <c:ptCount val="7"/>
                <c:pt idx="0">
                  <c:v>97.6</c:v>
                </c:pt>
                <c:pt idx="1">
                  <c:v>69.8</c:v>
                </c:pt>
                <c:pt idx="2">
                  <c:v>90.7</c:v>
                </c:pt>
                <c:pt idx="3">
                  <c:v>85.7</c:v>
                </c:pt>
                <c:pt idx="4">
                  <c:v>63</c:v>
                </c:pt>
                <c:pt idx="5">
                  <c:v>14.3</c:v>
                </c:pt>
                <c:pt idx="6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AB-4F00-9C04-A2B18B5A0DEE}"/>
            </c:ext>
          </c:extLst>
        </c:ser>
        <c:ser>
          <c:idx val="1"/>
          <c:order val="1"/>
          <c:tx>
            <c:strRef>
              <c:f>'ABRIL VS MARZO'!$B$39</c:f>
              <c:strCache>
                <c:ptCount val="1"/>
                <c:pt idx="0">
                  <c:v>Cloruros (Cl-) - MARZO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1390374331550867E-2"/>
                  <c:y val="3.71195248700803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AB-4F00-9C04-A2B18B5A0DEE}"/>
                </c:ext>
              </c:extLst>
            </c:dLbl>
            <c:dLbl>
              <c:idx val="5"/>
              <c:layout>
                <c:manualLayout>
                  <c:x val="8.912655971479503E-3"/>
                  <c:y val="-7.42390497401633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AB-4F00-9C04-A2B18B5A0DEE}"/>
                </c:ext>
              </c:extLst>
            </c:dLbl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MARZO'!$F$39:$L$39</c:f>
              <c:numCache>
                <c:formatCode>General</c:formatCode>
                <c:ptCount val="7"/>
                <c:pt idx="0">
                  <c:v>5.9</c:v>
                </c:pt>
                <c:pt idx="1">
                  <c:v>6.9</c:v>
                </c:pt>
                <c:pt idx="2">
                  <c:v>3.3</c:v>
                </c:pt>
                <c:pt idx="3">
                  <c:v>5.6</c:v>
                </c:pt>
                <c:pt idx="4">
                  <c:v>7.9</c:v>
                </c:pt>
                <c:pt idx="5">
                  <c:v>4.3</c:v>
                </c:pt>
                <c:pt idx="6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AB-4F00-9C04-A2B18B5A0DEE}"/>
            </c:ext>
          </c:extLst>
        </c:ser>
        <c:ser>
          <c:idx val="3"/>
          <c:order val="2"/>
          <c:tx>
            <c:strRef>
              <c:f>'ABRIL VS MARZO'!$B$40</c:f>
              <c:strCache>
                <c:ptCount val="1"/>
                <c:pt idx="0">
                  <c:v>Cloruros (Cl-) - MAYO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3.7433155080213915E-2"/>
                  <c:y val="-1.4847809948032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AB-4F00-9C04-A2B18B5A0DEE}"/>
                </c:ext>
              </c:extLst>
            </c:dLbl>
            <c:dLbl>
              <c:idx val="4"/>
              <c:layout>
                <c:manualLayout>
                  <c:x val="2.1390374331550797E-2"/>
                  <c:y val="-1.1135857461024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AB-4F00-9C04-A2B18B5A0DEE}"/>
                </c:ext>
              </c:extLst>
            </c:dLbl>
            <c:dLbl>
              <c:idx val="5"/>
              <c:layout>
                <c:manualLayout>
                  <c:x val="-1.9607843137254902E-2"/>
                  <c:y val="-1.1135857461024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AB-4F00-9C04-A2B18B5A0DEE}"/>
                </c:ext>
              </c:extLst>
            </c:dLbl>
            <c:dLbl>
              <c:idx val="6"/>
              <c:layout>
                <c:manualLayout>
                  <c:x val="0"/>
                  <c:y val="-3.71195248700817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AB-4F00-9C04-A2B18B5A0DEE}"/>
                </c:ext>
              </c:extLst>
            </c:dLbl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MARZO'!$F$40:$L$40</c:f>
              <c:numCache>
                <c:formatCode>General</c:formatCode>
                <c:ptCount val="7"/>
                <c:pt idx="0">
                  <c:v>52.800000000000004</c:v>
                </c:pt>
                <c:pt idx="1">
                  <c:v>51.900000000000006</c:v>
                </c:pt>
                <c:pt idx="2">
                  <c:v>45</c:v>
                </c:pt>
                <c:pt idx="3">
                  <c:v>23.700000000000003</c:v>
                </c:pt>
                <c:pt idx="4">
                  <c:v>30.900000000000002</c:v>
                </c:pt>
                <c:pt idx="5">
                  <c:v>7.5</c:v>
                </c:pt>
                <c:pt idx="6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AB-4F00-9C04-A2B18B5A0DEE}"/>
            </c:ext>
          </c:extLst>
        </c:ser>
        <c:ser>
          <c:idx val="2"/>
          <c:order val="3"/>
          <c:tx>
            <c:strRef>
              <c:f>'ABRIL VS MARZO'!$B$41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AB-4F00-9C04-A2B18B5A0D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MARZO'!$F$41:$L$41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AB-4F00-9C04-A2B18B5A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8744"/>
        <c:axId val="506419136"/>
      </c:lineChart>
      <c:catAx>
        <c:axId val="50641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9136"/>
        <c:crosses val="autoZero"/>
        <c:auto val="1"/>
        <c:lblAlgn val="ctr"/>
        <c:lblOffset val="100"/>
        <c:noMultiLvlLbl val="0"/>
      </c:catAx>
      <c:valAx>
        <c:axId val="506419136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8744"/>
        <c:crosses val="autoZero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Nitratos  (NO3-)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MARZO'!$B$43</c:f>
              <c:strCache>
                <c:ptCount val="1"/>
                <c:pt idx="0">
                  <c:v>Nitratos  (NO3-) - ABRIL</c:v>
                </c:pt>
              </c:strCache>
            </c:strRef>
          </c:tx>
          <c:spPr>
            <a:ln w="28575" cap="rnd">
              <a:solidFill>
                <a:srgbClr val="99FFC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782531194295902E-2"/>
                  <c:y val="3.096266249641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41-462B-90A9-ABEA8ACC602A}"/>
                </c:ext>
              </c:extLst>
            </c:dLbl>
            <c:dLbl>
              <c:idx val="1"/>
              <c:layout>
                <c:manualLayout>
                  <c:x val="-1.7825311942959037E-2"/>
                  <c:y val="2.0641774997609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41-462B-90A9-ABEA8ACC602A}"/>
                </c:ext>
              </c:extLst>
            </c:dLbl>
            <c:dLbl>
              <c:idx val="2"/>
              <c:layout>
                <c:manualLayout>
                  <c:x val="-1.2477718360071298E-2"/>
                  <c:y val="2.752236666347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41-462B-90A9-ABEA8ACC602A}"/>
                </c:ext>
              </c:extLst>
            </c:dLbl>
            <c:dLbl>
              <c:idx val="3"/>
              <c:layout>
                <c:manualLayout>
                  <c:x val="-3.5650623885918656E-3"/>
                  <c:y val="2.752236666347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41-462B-90A9-ABEA8ACC602A}"/>
                </c:ext>
              </c:extLst>
            </c:dLbl>
            <c:dLbl>
              <c:idx val="4"/>
              <c:layout>
                <c:manualLayout>
                  <c:x val="-2.4415797066234115E-2"/>
                  <c:y val="1.0811325575453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41-462B-90A9-ABEA8ACC602A}"/>
                </c:ext>
              </c:extLst>
            </c:dLbl>
            <c:dLbl>
              <c:idx val="5"/>
              <c:layout>
                <c:manualLayout>
                  <c:x val="-2.523340754215565E-2"/>
                  <c:y val="-2.94985250737463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41-462B-90A9-ABEA8ACC602A}"/>
                </c:ext>
              </c:extLst>
            </c:dLbl>
            <c:dLbl>
              <c:idx val="6"/>
              <c:layout>
                <c:manualLayout>
                  <c:x val="1.6680567139282738E-2"/>
                  <c:y val="2.94985250737452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41-462B-90A9-ABEA8ACC602A}"/>
                </c:ext>
              </c:extLst>
            </c:dLbl>
            <c:spPr>
              <a:solidFill>
                <a:srgbClr val="99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MARZO'!$F$43:$L$43</c:f>
              <c:numCache>
                <c:formatCode>General</c:formatCode>
                <c:ptCount val="7"/>
                <c:pt idx="0">
                  <c:v>6.8</c:v>
                </c:pt>
                <c:pt idx="1">
                  <c:v>5.5</c:v>
                </c:pt>
                <c:pt idx="2" formatCode="0.0">
                  <c:v>5</c:v>
                </c:pt>
                <c:pt idx="3">
                  <c:v>4.2</c:v>
                </c:pt>
                <c:pt idx="4">
                  <c:v>3.1</c:v>
                </c:pt>
                <c:pt idx="5">
                  <c:v>0.7</c:v>
                </c:pt>
                <c:pt idx="6" formatCode="0.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41-462B-90A9-ABEA8ACC602A}"/>
            </c:ext>
          </c:extLst>
        </c:ser>
        <c:ser>
          <c:idx val="1"/>
          <c:order val="1"/>
          <c:tx>
            <c:strRef>
              <c:f>'ABRIL VS MARZO'!$B$44</c:f>
              <c:strCache>
                <c:ptCount val="1"/>
                <c:pt idx="0">
                  <c:v>Nitratos  (NO3-) - MARZO</c:v>
                </c:pt>
              </c:strCache>
            </c:strRef>
          </c:tx>
          <c:spPr>
            <a:ln w="28575" cap="rnd">
              <a:solidFill>
                <a:srgbClr val="DE56A7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711216039613069E-2"/>
                  <c:y val="-1.8175272338745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41-462B-90A9-ABEA8ACC602A}"/>
                </c:ext>
              </c:extLst>
            </c:dLbl>
            <c:dLbl>
              <c:idx val="1"/>
              <c:layout>
                <c:manualLayout>
                  <c:x val="-4.2846181967037308E-2"/>
                  <c:y val="7.38531577358139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41-462B-90A9-ABEA8ACC602A}"/>
                </c:ext>
              </c:extLst>
            </c:dLbl>
            <c:dLbl>
              <c:idx val="2"/>
              <c:layout>
                <c:manualLayout>
                  <c:x val="-3.1545863897955259E-2"/>
                  <c:y val="-7.85427264069867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41-462B-90A9-ABEA8ACC602A}"/>
                </c:ext>
              </c:extLst>
            </c:dLbl>
            <c:dLbl>
              <c:idx val="3"/>
              <c:layout>
                <c:manualLayout>
                  <c:x val="-5.3475935828877002E-3"/>
                  <c:y val="-3.784325416228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41-462B-90A9-ABEA8ACC602A}"/>
                </c:ext>
              </c:extLst>
            </c:dLbl>
            <c:dLbl>
              <c:idx val="4"/>
              <c:layout>
                <c:manualLayout>
                  <c:x val="-7.1301247771836671E-3"/>
                  <c:y val="-3.4402958329349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41-462B-90A9-ABEA8ACC602A}"/>
                </c:ext>
              </c:extLst>
            </c:dLbl>
            <c:dLbl>
              <c:idx val="5"/>
              <c:layout>
                <c:manualLayout>
                  <c:x val="-1.7825311942959002E-2"/>
                  <c:y val="-2.752236666347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41-462B-90A9-ABEA8ACC602A}"/>
                </c:ext>
              </c:extLst>
            </c:dLbl>
            <c:dLbl>
              <c:idx val="6"/>
              <c:layout>
                <c:manualLayout>
                  <c:x val="-1.2477718360071298E-2"/>
                  <c:y val="-2.7522366663479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41-462B-90A9-ABEA8ACC602A}"/>
                </c:ext>
              </c:extLst>
            </c:dLbl>
            <c:spPr>
              <a:solidFill>
                <a:srgbClr val="DE56A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MARZO'!$F$44:$L$44</c:f>
              <c:numCache>
                <c:formatCode>General</c:formatCode>
                <c:ptCount val="7"/>
                <c:pt idx="0">
                  <c:v>5.4</c:v>
                </c:pt>
                <c:pt idx="1">
                  <c:v>6.5</c:v>
                </c:pt>
                <c:pt idx="2">
                  <c:v>5.6</c:v>
                </c:pt>
                <c:pt idx="3">
                  <c:v>5.2</c:v>
                </c:pt>
                <c:pt idx="4">
                  <c:v>6.5</c:v>
                </c:pt>
                <c:pt idx="5">
                  <c:v>3.4</c:v>
                </c:pt>
                <c:pt idx="6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C41-462B-90A9-ABEA8ACC602A}"/>
            </c:ext>
          </c:extLst>
        </c:ser>
        <c:ser>
          <c:idx val="2"/>
          <c:order val="2"/>
          <c:tx>
            <c:strRef>
              <c:f>'ABRIL VS MARZO'!$B$46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41-462B-90A9-ABEA8ACC60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MARZO'!$F$46:$L$46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C41-462B-90A9-ABEA8ACC602A}"/>
            </c:ext>
          </c:extLst>
        </c:ser>
        <c:ser>
          <c:idx val="3"/>
          <c:order val="3"/>
          <c:tx>
            <c:strRef>
              <c:f>'ABRIL VS MARZO'!$B$45</c:f>
              <c:strCache>
                <c:ptCount val="1"/>
                <c:pt idx="0">
                  <c:v>Nitratos  (NO3-) - MAYO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070614400889629E-2"/>
                  <c:y val="-2.9498525073746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41-462B-90A9-ABEA8ACC602A}"/>
                </c:ext>
              </c:extLst>
            </c:dLbl>
            <c:dLbl>
              <c:idx val="3"/>
              <c:layout>
                <c:manualLayout>
                  <c:x val="-3.3361134278565525E-2"/>
                  <c:y val="-8.84955752212400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C41-462B-90A9-ABEA8ACC602A}"/>
                </c:ext>
              </c:extLst>
            </c:dLbl>
            <c:dLbl>
              <c:idx val="6"/>
              <c:layout>
                <c:manualLayout>
                  <c:x val="-2.0850708924103421E-2"/>
                  <c:y val="-2.94985250737452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C41-462B-90A9-ABEA8ACC602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MARZO'!$F$45:$L$45</c:f>
              <c:numCache>
                <c:formatCode>0.0</c:formatCode>
                <c:ptCount val="7"/>
                <c:pt idx="0" formatCode="General">
                  <c:v>9.8000000000000007</c:v>
                </c:pt>
                <c:pt idx="1">
                  <c:v>7</c:v>
                </c:pt>
                <c:pt idx="2" formatCode="General">
                  <c:v>5.7</c:v>
                </c:pt>
                <c:pt idx="3">
                  <c:v>2</c:v>
                </c:pt>
                <c:pt idx="4" formatCode="General">
                  <c:v>4.8</c:v>
                </c:pt>
                <c:pt idx="5" formatCode="General">
                  <c:v>2.6</c:v>
                </c:pt>
                <c:pt idx="6" formatCode="General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C41-462B-90A9-ABEA8ACC6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19920"/>
        <c:axId val="506420312"/>
      </c:lineChart>
      <c:catAx>
        <c:axId val="5064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0312"/>
        <c:crosses val="autoZero"/>
        <c:auto val="1"/>
        <c:lblAlgn val="ctr"/>
        <c:lblOffset val="100"/>
        <c:noMultiLvlLbl val="0"/>
      </c:catAx>
      <c:valAx>
        <c:axId val="5064203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19920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Manganeso (Mn)2022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MARZO'!$B$48</c:f>
              <c:strCache>
                <c:ptCount val="1"/>
                <c:pt idx="0">
                  <c:v>Manganeso (Mn) - ABRIL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993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MARZO'!$F$48:$L$48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0.2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0-41A0-975B-F6DED62865FF}"/>
            </c:ext>
          </c:extLst>
        </c:ser>
        <c:ser>
          <c:idx val="1"/>
          <c:order val="1"/>
          <c:tx>
            <c:strRef>
              <c:f>'ABRIL VS MARZO'!$B$49</c:f>
              <c:strCache>
                <c:ptCount val="1"/>
                <c:pt idx="0">
                  <c:v>Manganeso (Mn) - MARZO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MARZO'!$F$49:$L$49</c:f>
              <c:numCache>
                <c:formatCode>General</c:formatCode>
                <c:ptCount val="7"/>
                <c:pt idx="0">
                  <c:v>3.2</c:v>
                </c:pt>
                <c:pt idx="1">
                  <c:v>3.3</c:v>
                </c:pt>
                <c:pt idx="2">
                  <c:v>2.5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0-41A0-975B-F6DED62865FF}"/>
            </c:ext>
          </c:extLst>
        </c:ser>
        <c:ser>
          <c:idx val="3"/>
          <c:order val="2"/>
          <c:tx>
            <c:strRef>
              <c:f>'ABRIL VS MARZO'!$B$50</c:f>
              <c:strCache>
                <c:ptCount val="1"/>
                <c:pt idx="0">
                  <c:v>Manganeso (Mn) - MAYO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8520499108734394E-2"/>
                  <c:y val="2.4082070830544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50-41A0-975B-F6DED62865FF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MARZO'!$F$50:$L$50</c:f>
              <c:numCache>
                <c:formatCode>General</c:formatCode>
                <c:ptCount val="7"/>
                <c:pt idx="0">
                  <c:v>2.9</c:v>
                </c:pt>
                <c:pt idx="1">
                  <c:v>2</c:v>
                </c:pt>
                <c:pt idx="2">
                  <c:v>2.2999999999999998</c:v>
                </c:pt>
                <c:pt idx="3">
                  <c:v>2.5</c:v>
                </c:pt>
                <c:pt idx="4">
                  <c:v>2.8</c:v>
                </c:pt>
                <c:pt idx="5">
                  <c:v>2.2000000000000002</c:v>
                </c:pt>
                <c:pt idx="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50-41A0-975B-F6DED62865FF}"/>
            </c:ext>
          </c:extLst>
        </c:ser>
        <c:ser>
          <c:idx val="2"/>
          <c:order val="3"/>
          <c:tx>
            <c:strRef>
              <c:f>'ABRIL VS MARZO'!$B$51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50-41A0-975B-F6DED62865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MARZO'!$F$51:$L$51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50-41A0-975B-F6DED628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21096"/>
        <c:axId val="506421488"/>
      </c:lineChart>
      <c:catAx>
        <c:axId val="50642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1488"/>
        <c:crosses val="autoZero"/>
        <c:auto val="1"/>
        <c:lblAlgn val="ctr"/>
        <c:lblOffset val="100"/>
        <c:noMultiLvlLbl val="0"/>
      </c:catAx>
      <c:valAx>
        <c:axId val="506421488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1096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Hierro (Fe) 2022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MAZO</a:t>
            </a:r>
            <a:r>
              <a:rPr lang="en-US" b="1" baseline="0"/>
              <a:t> VS ABRIL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MARZO'!$B$53</c:f>
              <c:strCache>
                <c:ptCount val="1"/>
                <c:pt idx="0">
                  <c:v>Hierro (Fe) - ABRIL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910873440285219E-2"/>
                  <c:y val="-1.2452598009055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1E-45BC-9F65-97D5F258C3A4}"/>
                </c:ext>
              </c:extLst>
            </c:dLbl>
            <c:dLbl>
              <c:idx val="1"/>
              <c:layout>
                <c:manualLayout>
                  <c:x val="-2.6737967914438505E-2"/>
                  <c:y val="-1.5565747511318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1E-45BC-9F65-97D5F258C3A4}"/>
                </c:ext>
              </c:extLst>
            </c:dLbl>
            <c:dLbl>
              <c:idx val="2"/>
              <c:layout>
                <c:manualLayout>
                  <c:x val="-2.4955436720142603E-2"/>
                  <c:y val="-3.1131495022638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1E-45BC-9F65-97D5F258C3A4}"/>
                </c:ext>
              </c:extLst>
            </c:dLbl>
            <c:dLbl>
              <c:idx val="3"/>
              <c:layout>
                <c:manualLayout>
                  <c:x val="-1.9607843137254902E-2"/>
                  <c:y val="3.11314950226366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1E-45BC-9F65-97D5F258C3A4}"/>
                </c:ext>
              </c:extLst>
            </c:dLbl>
            <c:dLbl>
              <c:idx val="4"/>
              <c:layout>
                <c:manualLayout>
                  <c:x val="-3.2085561497326213E-2"/>
                  <c:y val="-2.8018345520373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1E-45BC-9F65-97D5F258C3A4}"/>
                </c:ext>
              </c:extLst>
            </c:dLbl>
            <c:dLbl>
              <c:idx val="5"/>
              <c:layout>
                <c:manualLayout>
                  <c:x val="-3.3868092691622102E-2"/>
                  <c:y val="-4.0470943529429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1E-45BC-9F65-97D5F258C3A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MAYO!$F$7:$L$7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MARZO'!$F$53:$L$53</c:f>
              <c:numCache>
                <c:formatCode>General</c:formatCode>
                <c:ptCount val="7"/>
                <c:pt idx="0">
                  <c:v>0.10199999999999999</c:v>
                </c:pt>
                <c:pt idx="1">
                  <c:v>0.09</c:v>
                </c:pt>
                <c:pt idx="2">
                  <c:v>0.11</c:v>
                </c:pt>
                <c:pt idx="3">
                  <c:v>0.108</c:v>
                </c:pt>
                <c:pt idx="4">
                  <c:v>0.17399999999999999</c:v>
                </c:pt>
                <c:pt idx="5">
                  <c:v>1.5760000000000001</c:v>
                </c:pt>
                <c:pt idx="6">
                  <c:v>1.857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1E-45BC-9F65-97D5F258C3A4}"/>
            </c:ext>
          </c:extLst>
        </c:ser>
        <c:ser>
          <c:idx val="1"/>
          <c:order val="1"/>
          <c:tx>
            <c:strRef>
              <c:f>'ABRIL VS MARZO'!$B$54</c:f>
              <c:strCache>
                <c:ptCount val="1"/>
                <c:pt idx="0">
                  <c:v>Hierro (Fe) - MARZO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6737967914438505E-2"/>
                  <c:y val="-3.7357794027165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1E-45BC-9F65-97D5F258C3A4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MAYO!$F$7:$L$7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MARZO'!$F$54:$L$54</c:f>
              <c:numCache>
                <c:formatCode>General</c:formatCode>
                <c:ptCount val="7"/>
                <c:pt idx="0">
                  <c:v>0.52200000000000002</c:v>
                </c:pt>
                <c:pt idx="1">
                  <c:v>0.72799999999999998</c:v>
                </c:pt>
                <c:pt idx="2">
                  <c:v>0.44900000000000001</c:v>
                </c:pt>
                <c:pt idx="3">
                  <c:v>0.45300000000000001</c:v>
                </c:pt>
                <c:pt idx="4">
                  <c:v>1.0189999999999999</c:v>
                </c:pt>
                <c:pt idx="5">
                  <c:v>1.4</c:v>
                </c:pt>
                <c:pt idx="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1E-45BC-9F65-97D5F258C3A4}"/>
            </c:ext>
          </c:extLst>
        </c:ser>
        <c:ser>
          <c:idx val="2"/>
          <c:order val="2"/>
          <c:tx>
            <c:strRef>
              <c:f>'ABRIL VS MARZO'!$B$56</c:f>
              <c:strCache>
                <c:ptCount val="1"/>
                <c:pt idx="0">
                  <c:v>LMP-DS N° 004-2017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1E-45BC-9F65-97D5F258C3A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MAYO!$F$7:$L$7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MARZO'!$F$56:$L$56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1E-45BC-9F65-97D5F258C3A4}"/>
            </c:ext>
          </c:extLst>
        </c:ser>
        <c:ser>
          <c:idx val="3"/>
          <c:order val="3"/>
          <c:tx>
            <c:strRef>
              <c:f>'ABRIL VS MARZO'!$B$55</c:f>
              <c:strCache>
                <c:ptCount val="1"/>
                <c:pt idx="0">
                  <c:v>Hierro (Fe) - MAYO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5650623885918006E-3"/>
                  <c:y val="3.11314950226366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1E-45BC-9F65-97D5F258C3A4}"/>
                </c:ext>
              </c:extLst>
            </c:dLbl>
            <c:dLbl>
              <c:idx val="1"/>
              <c:layout>
                <c:manualLayout>
                  <c:x val="7.1301247771836012E-3"/>
                  <c:y val="-1.8678897013582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1E-45BC-9F65-97D5F258C3A4}"/>
                </c:ext>
              </c:extLst>
            </c:dLbl>
            <c:dLbl>
              <c:idx val="2"/>
              <c:layout>
                <c:manualLayout>
                  <c:x val="1.604278074866310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1E-45BC-9F65-97D5F258C3A4}"/>
                </c:ext>
              </c:extLst>
            </c:dLbl>
            <c:dLbl>
              <c:idx val="3"/>
              <c:layout>
                <c:manualLayout>
                  <c:x val="3.386809269162197E-2"/>
                  <c:y val="3.11314950226377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1E-45BC-9F65-97D5F258C3A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MAYO!$F$7:$L$7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MARZO'!$F$55:$L$55</c:f>
              <c:numCache>
                <c:formatCode>General</c:formatCode>
                <c:ptCount val="7"/>
                <c:pt idx="0">
                  <c:v>3.7999999999999999E-2</c:v>
                </c:pt>
                <c:pt idx="1">
                  <c:v>4.5999999999999999E-2</c:v>
                </c:pt>
                <c:pt idx="2">
                  <c:v>4.3999999999999997E-2</c:v>
                </c:pt>
                <c:pt idx="3">
                  <c:v>4.2999999999999997E-2</c:v>
                </c:pt>
                <c:pt idx="4">
                  <c:v>5.0999999999999997E-2</c:v>
                </c:pt>
                <c:pt idx="5">
                  <c:v>0.40600000000000003</c:v>
                </c:pt>
                <c:pt idx="6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51E-45BC-9F65-97D5F258C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22272"/>
        <c:axId val="506422664"/>
      </c:lineChart>
      <c:catAx>
        <c:axId val="5064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2664"/>
        <c:crosses val="autoZero"/>
        <c:auto val="1"/>
        <c:lblAlgn val="ctr"/>
        <c:lblOffset val="100"/>
        <c:noMultiLvlLbl val="0"/>
      </c:catAx>
      <c:valAx>
        <c:axId val="50642266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2272"/>
        <c:crosses val="autoZero"/>
        <c:crossBetween val="between"/>
        <c:majorUnit val="0.300000000000000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Cobre (Cu) 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</a:t>
            </a:r>
            <a:r>
              <a:rPr lang="en-US" b="1" baseline="0"/>
              <a:t> - ABRIL - MAYO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VS MARZO'!$B$58</c:f>
              <c:strCache>
                <c:ptCount val="1"/>
                <c:pt idx="0">
                  <c:v>Cobre (Cu) - ABRIL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6737967914438505E-2"/>
                  <c:y val="1.720516844034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0E-48EF-981E-658D6DB7506E}"/>
                </c:ext>
              </c:extLst>
            </c:dLbl>
            <c:dLbl>
              <c:idx val="6"/>
              <c:layout>
                <c:manualLayout>
                  <c:x val="-4.6345811051693414E-2"/>
                  <c:y val="4.91576241152586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E-48EF-981E-658D6DB7506E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MARZO'!$F$58:$L$58</c:f>
              <c:numCache>
                <c:formatCode>General</c:formatCode>
                <c:ptCount val="7"/>
                <c:pt idx="0">
                  <c:v>1.53</c:v>
                </c:pt>
                <c:pt idx="1">
                  <c:v>2.4700000000000002</c:v>
                </c:pt>
                <c:pt idx="2">
                  <c:v>1.24</c:v>
                </c:pt>
                <c:pt idx="3">
                  <c:v>1.3</c:v>
                </c:pt>
                <c:pt idx="4">
                  <c:v>1.1100000000000001</c:v>
                </c:pt>
                <c:pt idx="5">
                  <c:v>0.2</c:v>
                </c:pt>
                <c:pt idx="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E-48EF-981E-658D6DB7506E}"/>
            </c:ext>
          </c:extLst>
        </c:ser>
        <c:ser>
          <c:idx val="1"/>
          <c:order val="1"/>
          <c:tx>
            <c:strRef>
              <c:f>'ABRIL VS MARZO'!$B$59</c:f>
              <c:strCache>
                <c:ptCount val="1"/>
                <c:pt idx="0">
                  <c:v>Cobre (Cu) - MARZO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3.5650623885918005E-2"/>
                  <c:y val="1.4747287234577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0E-48EF-981E-658D6DB7506E}"/>
                </c:ext>
              </c:extLst>
            </c:dLbl>
            <c:dLbl>
              <c:idx val="5"/>
              <c:layout>
                <c:manualLayout>
                  <c:x val="-1.4260249554367201E-2"/>
                  <c:y val="-2.212093085186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0E-48EF-981E-658D6DB7506E}"/>
                </c:ext>
              </c:extLst>
            </c:dLbl>
            <c:dLbl>
              <c:idx val="6"/>
              <c:layout>
                <c:manualLayout>
                  <c:x val="-7.1301247771836012E-3"/>
                  <c:y val="1.4747287234577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0E-48EF-981E-658D6DB7506E}"/>
                </c:ext>
              </c:extLst>
            </c:dLbl>
            <c:spPr>
              <a:solidFill>
                <a:srgbClr val="00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MARZO'!$F$59:$L$59</c:f>
              <c:numCache>
                <c:formatCode>General</c:formatCode>
                <c:ptCount val="7"/>
                <c:pt idx="0">
                  <c:v>0.84</c:v>
                </c:pt>
                <c:pt idx="1">
                  <c:v>1.58</c:v>
                </c:pt>
                <c:pt idx="2">
                  <c:v>1.08</c:v>
                </c:pt>
                <c:pt idx="3">
                  <c:v>1.1100000000000001</c:v>
                </c:pt>
                <c:pt idx="4">
                  <c:v>0.67</c:v>
                </c:pt>
                <c:pt idx="5">
                  <c:v>0.33</c:v>
                </c:pt>
                <c:pt idx="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0E-48EF-981E-658D6DB7506E}"/>
            </c:ext>
          </c:extLst>
        </c:ser>
        <c:ser>
          <c:idx val="2"/>
          <c:order val="2"/>
          <c:tx>
            <c:strRef>
              <c:f>'ABRIL VS MARZO'!$B$61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3.9215686274509803E-2"/>
                  <c:y val="1.2289406028814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0E-48EF-981E-658D6DB7506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MARZO'!$F$61:$L$61</c:f>
              <c:numCache>
                <c:formatCode>General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0E-48EF-981E-658D6DB7506E}"/>
            </c:ext>
          </c:extLst>
        </c:ser>
        <c:ser>
          <c:idx val="3"/>
          <c:order val="3"/>
          <c:tx>
            <c:strRef>
              <c:f>'ABRIL VS MARZO'!$B$62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0E-48EF-981E-658D6DB7506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MARZO'!$F$62:$L$62</c:f>
              <c:numCache>
                <c:formatCode>General</c:formatCode>
                <c:ptCount val="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0E-48EF-981E-658D6DB7506E}"/>
            </c:ext>
          </c:extLst>
        </c:ser>
        <c:ser>
          <c:idx val="4"/>
          <c:order val="4"/>
          <c:tx>
            <c:strRef>
              <c:f>'ABRIL VS MARZO'!$B$60</c:f>
              <c:strCache>
                <c:ptCount val="1"/>
                <c:pt idx="0">
                  <c:v>Cobre (Cu) - MAYO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782531194295894E-2"/>
                  <c:y val="-5.1615505321022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0E-48EF-981E-658D6DB7506E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MARZO'!$F$60:$L$60</c:f>
              <c:numCache>
                <c:formatCode>General</c:formatCode>
                <c:ptCount val="7"/>
                <c:pt idx="0">
                  <c:v>3.71</c:v>
                </c:pt>
                <c:pt idx="1">
                  <c:v>4.75</c:v>
                </c:pt>
                <c:pt idx="2">
                  <c:v>4.07</c:v>
                </c:pt>
                <c:pt idx="3">
                  <c:v>5.24</c:v>
                </c:pt>
                <c:pt idx="4">
                  <c:v>3.01</c:v>
                </c:pt>
                <c:pt idx="5">
                  <c:v>0.41</c:v>
                </c:pt>
                <c:pt idx="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0E-48EF-981E-658D6DB7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23448"/>
        <c:axId val="506423840"/>
      </c:lineChart>
      <c:catAx>
        <c:axId val="50642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3840"/>
        <c:crosses val="autoZero"/>
        <c:auto val="1"/>
        <c:lblAlgn val="ctr"/>
        <c:lblOffset val="100"/>
        <c:noMultiLvlLbl val="0"/>
      </c:catAx>
      <c:valAx>
        <c:axId val="506423840"/>
        <c:scaling>
          <c:orientation val="minMax"/>
          <c:max val="5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3448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Cromo Hexavalente (Cr6+)</a:t>
            </a:r>
          </a:p>
          <a:p>
            <a:pPr>
              <a:defRPr lang="es-E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MARZO</a:t>
            </a:r>
            <a:r>
              <a:rPr lang="en-US" b="1" baseline="0"/>
              <a:t> - ABRIL -MAYO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43054088362971"/>
          <c:y val="0.1529956427015251"/>
          <c:w val="0.56255226411241988"/>
          <c:h val="0.77622999330965992"/>
        </c:manualLayout>
      </c:layout>
      <c:lineChart>
        <c:grouping val="standard"/>
        <c:varyColors val="0"/>
        <c:ser>
          <c:idx val="0"/>
          <c:order val="0"/>
          <c:tx>
            <c:strRef>
              <c:f>'ABRIL VS MARZO'!$B$64</c:f>
              <c:strCache>
                <c:ptCount val="1"/>
                <c:pt idx="0">
                  <c:v>Cromo Hexavalente (Cr6+) - ABRIL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9.059088798329791E-3"/>
                  <c:y val="2.2223938806921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48-4B47-9107-F862BB541301}"/>
                </c:ext>
              </c:extLst>
            </c:dLbl>
            <c:dLbl>
              <c:idx val="5"/>
              <c:layout>
                <c:manualLayout>
                  <c:x val="-5.4490792934986876E-2"/>
                  <c:y val="2.72331154684096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48-4B47-9107-F862BB54130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MARZO'!$F$64:$L$64</c:f>
              <c:numCache>
                <c:formatCode>General</c:formatCode>
                <c:ptCount val="7"/>
                <c:pt idx="0">
                  <c:v>1.2999999999999999E-2</c:v>
                </c:pt>
                <c:pt idx="1">
                  <c:v>1.2E-2</c:v>
                </c:pt>
                <c:pt idx="2">
                  <c:v>1.7999999999999999E-2</c:v>
                </c:pt>
                <c:pt idx="3">
                  <c:v>1.4E-2</c:v>
                </c:pt>
                <c:pt idx="4">
                  <c:v>5.0999999999999997E-2</c:v>
                </c:pt>
                <c:pt idx="5">
                  <c:v>0.153</c:v>
                </c:pt>
                <c:pt idx="6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8-4B47-9107-F862BB541301}"/>
            </c:ext>
          </c:extLst>
        </c:ser>
        <c:ser>
          <c:idx val="1"/>
          <c:order val="1"/>
          <c:tx>
            <c:strRef>
              <c:f>'ABRIL VS MARZO'!$B$65</c:f>
              <c:strCache>
                <c:ptCount val="1"/>
                <c:pt idx="0">
                  <c:v>Cromo Hexavalente (Cr6+) - MARZO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95443991648525E-2"/>
                  <c:y val="-2.5398787207910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48-4B47-9107-F862BB541301}"/>
                </c:ext>
              </c:extLst>
            </c:dLbl>
            <c:dLbl>
              <c:idx val="1"/>
              <c:layout>
                <c:manualLayout>
                  <c:x val="-2.4912494195406722E-2"/>
                  <c:y val="-1.904909040593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48-4B47-9107-F862BB541301}"/>
                </c:ext>
              </c:extLst>
            </c:dLbl>
            <c:dLbl>
              <c:idx val="2"/>
              <c:layout>
                <c:manualLayout>
                  <c:x val="-1.5853405397076945E-2"/>
                  <c:y val="-2.8573635608899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48-4B47-9107-F862BB541301}"/>
                </c:ext>
              </c:extLst>
            </c:dLbl>
            <c:dLbl>
              <c:idx val="3"/>
              <c:layout>
                <c:manualLayout>
                  <c:x val="-1.8118177596659454E-2"/>
                  <c:y val="-2.2223938806922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48-4B47-9107-F862BB541301}"/>
                </c:ext>
              </c:extLst>
            </c:dLbl>
            <c:dLbl>
              <c:idx val="4"/>
              <c:layout>
                <c:manualLayout>
                  <c:x val="-5.0882534835344023E-2"/>
                  <c:y val="-2.44956512788844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48-4B47-9107-F862BB541301}"/>
                </c:ext>
              </c:extLst>
            </c:dLbl>
            <c:dLbl>
              <c:idx val="5"/>
              <c:layout>
                <c:manualLayout>
                  <c:x val="-2.4862626388161457E-2"/>
                  <c:y val="-1.4068155696224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48-4B47-9107-F862BB541301}"/>
                </c:ext>
              </c:extLst>
            </c:dLbl>
            <c:dLbl>
              <c:idx val="6"/>
              <c:layout>
                <c:manualLayout>
                  <c:x val="4.7560216191230874E-2"/>
                  <c:y val="-2.2223938806922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48-4B47-9107-F862BB541301}"/>
                </c:ext>
              </c:extLst>
            </c:dLbl>
            <c:spPr>
              <a:noFill/>
              <a:ln>
                <a:solidFill>
                  <a:srgbClr val="FF9933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MARZO'!$F$65:$L$65</c:f>
              <c:numCache>
                <c:formatCode>General</c:formatCode>
                <c:ptCount val="7"/>
                <c:pt idx="0">
                  <c:v>1.2999999999999999E-2</c:v>
                </c:pt>
                <c:pt idx="1">
                  <c:v>3.7999999999999999E-2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4.2000000000000003E-2</c:v>
                </c:pt>
                <c:pt idx="5">
                  <c:v>1.4999999999999999E-2</c:v>
                </c:pt>
                <c:pt idx="6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48-4B47-9107-F862BB541301}"/>
            </c:ext>
          </c:extLst>
        </c:ser>
        <c:ser>
          <c:idx val="2"/>
          <c:order val="2"/>
          <c:tx>
            <c:strRef>
              <c:f>'ABRIL VS MARZO'!$B$67</c:f>
              <c:strCache>
                <c:ptCount val="1"/>
                <c:pt idx="0">
                  <c:v>LMP-DS N° 004-2017  - RIEGO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6910935738444193E-2"/>
                  <c:y val="1.089324618736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48-4B47-9107-F862BB5413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MARZO'!$F$67:$L$67</c:f>
              <c:numCache>
                <c:formatCode>General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48-4B47-9107-F862BB541301}"/>
            </c:ext>
          </c:extLst>
        </c:ser>
        <c:ser>
          <c:idx val="3"/>
          <c:order val="3"/>
          <c:tx>
            <c:strRef>
              <c:f>'ABRIL VS MARZO'!$B$68</c:f>
              <c:strCache>
                <c:ptCount val="1"/>
                <c:pt idx="0">
                  <c:v>LMP-DS N° 004-2017 - ANIMALES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48-4B47-9107-F862BB5413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MARZO'!$F$68:$L$68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48-4B47-9107-F862BB541301}"/>
            </c:ext>
          </c:extLst>
        </c:ser>
        <c:ser>
          <c:idx val="4"/>
          <c:order val="4"/>
          <c:tx>
            <c:strRef>
              <c:f>'ABRIL VS MARZO'!$B$66</c:f>
              <c:strCache>
                <c:ptCount val="1"/>
                <c:pt idx="0">
                  <c:v>Cromo Hexavalente (Cr6+) - MAYO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184892897406989E-2"/>
                  <c:y val="-5.4466230936819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748-4B47-9107-F862BB541301}"/>
                </c:ext>
              </c:extLst>
            </c:dLbl>
            <c:dLbl>
              <c:idx val="3"/>
              <c:layout>
                <c:manualLayout>
                  <c:x val="-1.8789928598271329E-2"/>
                  <c:y val="-1.089324618736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748-4B47-9107-F862BB541301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'ABRIL VS MARZO'!$F$28:$L$28</c:f>
              <c:strCache>
                <c:ptCount val="7"/>
                <c:pt idx="0">
                  <c:v>Dren Bitín</c:v>
                </c:pt>
                <c:pt idx="1">
                  <c:v>Dren DV-4.3</c:v>
                </c:pt>
                <c:pt idx="2">
                  <c:v>Dren DV-4.0 (1)</c:v>
                </c:pt>
                <c:pt idx="3">
                  <c:v>Dren DV-4.0 (2)</c:v>
                </c:pt>
                <c:pt idx="4">
                  <c:v>Dren DV-4.0 (3)</c:v>
                </c:pt>
                <c:pt idx="5">
                  <c:v>Canal Madre</c:v>
                </c:pt>
                <c:pt idx="6">
                  <c:v>Central Hidroeléctrica Virú San José</c:v>
                </c:pt>
              </c:strCache>
            </c:strRef>
          </c:cat>
          <c:val>
            <c:numRef>
              <c:f>'ABRIL VS MARZO'!$F$66:$L$66</c:f>
              <c:numCache>
                <c:formatCode>General</c:formatCode>
                <c:ptCount val="7"/>
                <c:pt idx="0">
                  <c:v>0.38</c:v>
                </c:pt>
                <c:pt idx="1">
                  <c:v>0.155</c:v>
                </c:pt>
                <c:pt idx="2">
                  <c:v>0.29599999999999999</c:v>
                </c:pt>
                <c:pt idx="3">
                  <c:v>0.111</c:v>
                </c:pt>
                <c:pt idx="4">
                  <c:v>7.8E-2</c:v>
                </c:pt>
                <c:pt idx="5">
                  <c:v>0.14599999999999999</c:v>
                </c:pt>
                <c:pt idx="6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48-4B47-9107-F862BB54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24624"/>
        <c:axId val="506425016"/>
      </c:lineChart>
      <c:catAx>
        <c:axId val="5064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5016"/>
        <c:crosses val="autoZero"/>
        <c:auto val="1"/>
        <c:lblAlgn val="ctr"/>
        <c:lblOffset val="100"/>
        <c:noMultiLvlLbl val="0"/>
      </c:catAx>
      <c:valAx>
        <c:axId val="506425016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4624"/>
        <c:crosses val="autoZero"/>
        <c:crossBetween val="between"/>
        <c:majorUnit val="5.0000000000000017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 u="none">
                <a:solidFill>
                  <a:schemeClr val="bg1"/>
                </a:solidFill>
              </a:rPr>
              <a:t>CONDUCTIVIDAD ELECTRICA (mg/L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14018493422883169"/>
          <c:w val="0.94864123103906206"/>
          <c:h val="0.74285915239202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FISICOS'!$B$17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FISICOS'!$F$17:$N$17</c:f>
              <c:numCache>
                <c:formatCode>General</c:formatCode>
                <c:ptCount val="9"/>
                <c:pt idx="0">
                  <c:v>3400</c:v>
                </c:pt>
                <c:pt idx="1">
                  <c:v>3540</c:v>
                </c:pt>
                <c:pt idx="2">
                  <c:v>3340</c:v>
                </c:pt>
                <c:pt idx="3">
                  <c:v>3210</c:v>
                </c:pt>
                <c:pt idx="4">
                  <c:v>3050</c:v>
                </c:pt>
                <c:pt idx="5">
                  <c:v>3300</c:v>
                </c:pt>
                <c:pt idx="6">
                  <c:v>3770</c:v>
                </c:pt>
                <c:pt idx="7">
                  <c:v>3360</c:v>
                </c:pt>
                <c:pt idx="8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7-41F9-95B8-1EA49BE49B2D}"/>
            </c:ext>
          </c:extLst>
        </c:ser>
        <c:ser>
          <c:idx val="1"/>
          <c:order val="1"/>
          <c:tx>
            <c:strRef>
              <c:f>'PARAMETROS FISICOS'!$B$18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FISICOS'!$F$18:$N$18</c:f>
              <c:numCache>
                <c:formatCode>General</c:formatCode>
                <c:ptCount val="9"/>
                <c:pt idx="0">
                  <c:v>2250</c:v>
                </c:pt>
                <c:pt idx="1">
                  <c:v>2350</c:v>
                </c:pt>
                <c:pt idx="2">
                  <c:v>2530</c:v>
                </c:pt>
                <c:pt idx="3">
                  <c:v>2129</c:v>
                </c:pt>
                <c:pt idx="4">
                  <c:v>2048</c:v>
                </c:pt>
                <c:pt idx="5">
                  <c:v>2210</c:v>
                </c:pt>
                <c:pt idx="6">
                  <c:v>2098</c:v>
                </c:pt>
                <c:pt idx="7">
                  <c:v>2170</c:v>
                </c:pt>
                <c:pt idx="8">
                  <c:v>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7-41F9-95B8-1EA49BE49B2D}"/>
            </c:ext>
          </c:extLst>
        </c:ser>
        <c:ser>
          <c:idx val="2"/>
          <c:order val="2"/>
          <c:tx>
            <c:strRef>
              <c:f>'PARAMETROS FISICOS'!$B$19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FISICOS'!$F$19:$N$19</c:f>
              <c:numCache>
                <c:formatCode>General</c:formatCode>
                <c:ptCount val="9"/>
                <c:pt idx="0">
                  <c:v>3000</c:v>
                </c:pt>
                <c:pt idx="1">
                  <c:v>2060</c:v>
                </c:pt>
                <c:pt idx="2">
                  <c:v>2950</c:v>
                </c:pt>
                <c:pt idx="3">
                  <c:v>2840</c:v>
                </c:pt>
                <c:pt idx="4">
                  <c:v>2740</c:v>
                </c:pt>
                <c:pt idx="5">
                  <c:v>2960</c:v>
                </c:pt>
                <c:pt idx="6">
                  <c:v>2970</c:v>
                </c:pt>
                <c:pt idx="7">
                  <c:v>2890</c:v>
                </c:pt>
                <c:pt idx="8">
                  <c:v>2770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7-41F9-95B8-1EA49BE49B2D}"/>
            </c:ext>
          </c:extLst>
        </c:ser>
        <c:ser>
          <c:idx val="3"/>
          <c:order val="3"/>
          <c:tx>
            <c:strRef>
              <c:f>'PARAMETROS FISICOS'!$B$20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FISICOS'!$F$20:$N$20</c:f>
              <c:numCache>
                <c:formatCode>General</c:formatCode>
                <c:ptCount val="9"/>
                <c:pt idx="0">
                  <c:v>2700</c:v>
                </c:pt>
                <c:pt idx="1">
                  <c:v>2670</c:v>
                </c:pt>
                <c:pt idx="2">
                  <c:v>2730</c:v>
                </c:pt>
                <c:pt idx="3">
                  <c:v>2620</c:v>
                </c:pt>
                <c:pt idx="4">
                  <c:v>2520</c:v>
                </c:pt>
                <c:pt idx="5">
                  <c:v>2800</c:v>
                </c:pt>
                <c:pt idx="6">
                  <c:v>2700</c:v>
                </c:pt>
                <c:pt idx="7">
                  <c:v>2690</c:v>
                </c:pt>
                <c:pt idx="8">
                  <c:v>2730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7-41F9-95B8-1EA49BE49B2D}"/>
            </c:ext>
          </c:extLst>
        </c:ser>
        <c:ser>
          <c:idx val="4"/>
          <c:order val="4"/>
          <c:tx>
            <c:strRef>
              <c:f>'PARAMETROS FISICOS'!$B$21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FISICOS'!$F$21:$N$21</c:f>
              <c:numCache>
                <c:formatCode>General</c:formatCode>
                <c:ptCount val="9"/>
                <c:pt idx="0">
                  <c:v>2260</c:v>
                </c:pt>
                <c:pt idx="1">
                  <c:v>2360</c:v>
                </c:pt>
                <c:pt idx="2">
                  <c:v>2550</c:v>
                </c:pt>
                <c:pt idx="3">
                  <c:v>2280</c:v>
                </c:pt>
                <c:pt idx="4">
                  <c:v>2222</c:v>
                </c:pt>
                <c:pt idx="5">
                  <c:v>2520</c:v>
                </c:pt>
                <c:pt idx="6">
                  <c:v>2380</c:v>
                </c:pt>
                <c:pt idx="7">
                  <c:v>2290</c:v>
                </c:pt>
                <c:pt idx="8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17-41F9-95B8-1EA49BE49B2D}"/>
            </c:ext>
          </c:extLst>
        </c:ser>
        <c:ser>
          <c:idx val="5"/>
          <c:order val="5"/>
          <c:tx>
            <c:strRef>
              <c:f>'PARAMETROS FISICOS'!$B$22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FISICOS'!$F$22:$N$22</c:f>
              <c:numCache>
                <c:formatCode>General</c:formatCode>
                <c:ptCount val="9"/>
                <c:pt idx="0">
                  <c:v>263</c:v>
                </c:pt>
                <c:pt idx="1">
                  <c:v>315</c:v>
                </c:pt>
                <c:pt idx="2">
                  <c:v>403</c:v>
                </c:pt>
                <c:pt idx="3">
                  <c:v>479</c:v>
                </c:pt>
                <c:pt idx="4">
                  <c:v>512</c:v>
                </c:pt>
                <c:pt idx="5">
                  <c:v>520</c:v>
                </c:pt>
                <c:pt idx="6">
                  <c:v>515</c:v>
                </c:pt>
                <c:pt idx="7">
                  <c:v>400</c:v>
                </c:pt>
                <c:pt idx="8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17-41F9-95B8-1EA49BE49B2D}"/>
            </c:ext>
          </c:extLst>
        </c:ser>
        <c:ser>
          <c:idx val="6"/>
          <c:order val="6"/>
          <c:tx>
            <c:strRef>
              <c:f>'PARAMETROS FISICOS'!$B$23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2689511941848393E-3"/>
                  <c:y val="1.7412935323382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17-41F9-95B8-1EA49BE49B2D}"/>
                </c:ext>
              </c:extLst>
            </c:dLbl>
            <c:dLbl>
              <c:idx val="1"/>
              <c:layout>
                <c:manualLayout>
                  <c:x val="5.1921079958463139E-3"/>
                  <c:y val="7.4626865671641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17-41F9-95B8-1EA49BE49B2D}"/>
                </c:ext>
              </c:extLst>
            </c:dLbl>
            <c:dLbl>
              <c:idx val="2"/>
              <c:layout>
                <c:manualLayout>
                  <c:x val="7.2689511941848393E-3"/>
                  <c:y val="1.2437810945273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17-41F9-95B8-1EA49BE49B2D}"/>
                </c:ext>
              </c:extLst>
            </c:dLbl>
            <c:dLbl>
              <c:idx val="3"/>
              <c:layout>
                <c:manualLayout>
                  <c:x val="9.3457943925232892E-3"/>
                  <c:y val="2.48756218905472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17-41F9-95B8-1EA49BE49B2D}"/>
                </c:ext>
              </c:extLst>
            </c:dLbl>
            <c:dLbl>
              <c:idx val="4"/>
              <c:layout>
                <c:manualLayout>
                  <c:x val="6.2305295950155761E-3"/>
                  <c:y val="1.2437810945273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17-41F9-95B8-1EA49BE49B2D}"/>
                </c:ext>
              </c:extLst>
            </c:dLbl>
            <c:dLbl>
              <c:idx val="5"/>
              <c:layout>
                <c:manualLayout>
                  <c:x val="6.2305295950155761E-3"/>
                  <c:y val="1.2437810945273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17-41F9-95B8-1EA49BE49B2D}"/>
                </c:ext>
              </c:extLst>
            </c:dLbl>
            <c:dLbl>
              <c:idx val="6"/>
              <c:layout>
                <c:manualLayout>
                  <c:x val="5.1921079958463139E-3"/>
                  <c:y val="1.2437810945273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17-41F9-95B8-1EA49BE49B2D}"/>
                </c:ext>
              </c:extLst>
            </c:dLbl>
            <c:dLbl>
              <c:idx val="8"/>
              <c:layout>
                <c:manualLayout>
                  <c:x val="5.1921079958463139E-3"/>
                  <c:y val="9.95024875621890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17-41F9-95B8-1EA49BE49B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FISICOS'!$F$23:$N$23</c:f>
              <c:numCache>
                <c:formatCode>General</c:formatCode>
                <c:ptCount val="9"/>
                <c:pt idx="0">
                  <c:v>262</c:v>
                </c:pt>
                <c:pt idx="1">
                  <c:v>309</c:v>
                </c:pt>
                <c:pt idx="2">
                  <c:v>381</c:v>
                </c:pt>
                <c:pt idx="3">
                  <c:v>483</c:v>
                </c:pt>
                <c:pt idx="4">
                  <c:v>509</c:v>
                </c:pt>
                <c:pt idx="5">
                  <c:v>530</c:v>
                </c:pt>
                <c:pt idx="6">
                  <c:v>519</c:v>
                </c:pt>
                <c:pt idx="7">
                  <c:v>390</c:v>
                </c:pt>
                <c:pt idx="8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17-41F9-95B8-1EA49BE49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25800"/>
        <c:axId val="506426192"/>
        <c:extLst/>
      </c:barChart>
      <c:catAx>
        <c:axId val="50642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6192"/>
        <c:crosses val="autoZero"/>
        <c:auto val="1"/>
        <c:lblAlgn val="ctr"/>
        <c:lblOffset val="100"/>
        <c:noMultiLvlLbl val="0"/>
      </c:catAx>
      <c:valAx>
        <c:axId val="5064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5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bg1"/>
                </a:solidFill>
              </a:rPr>
              <a:t>SOLIDOS</a:t>
            </a:r>
            <a:r>
              <a:rPr lang="es-PE" baseline="0">
                <a:solidFill>
                  <a:schemeClr val="bg1"/>
                </a:solidFill>
              </a:rPr>
              <a:t> TOTALES DISUELTOS </a:t>
            </a:r>
            <a:r>
              <a:rPr lang="es-P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(mg/L)</a:t>
            </a:r>
            <a:endParaRPr lang="es-P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14018493422883169"/>
          <c:w val="0.94864123103906206"/>
          <c:h val="0.74285915239202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FISICOS'!$B$28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FISICOS'!$E$28:$N$28</c:f>
              <c:numCache>
                <c:formatCode>General</c:formatCode>
                <c:ptCount val="10"/>
                <c:pt idx="0">
                  <c:v>0</c:v>
                </c:pt>
                <c:pt idx="1">
                  <c:v>1700</c:v>
                </c:pt>
                <c:pt idx="2">
                  <c:v>1167</c:v>
                </c:pt>
                <c:pt idx="3">
                  <c:v>1670</c:v>
                </c:pt>
                <c:pt idx="4">
                  <c:v>1705</c:v>
                </c:pt>
                <c:pt idx="5">
                  <c:v>1685</c:v>
                </c:pt>
                <c:pt idx="6">
                  <c:v>1697</c:v>
                </c:pt>
                <c:pt idx="7">
                  <c:v>1951</c:v>
                </c:pt>
                <c:pt idx="8">
                  <c:v>1728</c:v>
                </c:pt>
                <c:pt idx="9">
                  <c:v>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F-487A-B90C-D1D884FF03F8}"/>
            </c:ext>
          </c:extLst>
        </c:ser>
        <c:ser>
          <c:idx val="1"/>
          <c:order val="1"/>
          <c:tx>
            <c:strRef>
              <c:f>'PARAMETROS FISICOS'!$B$29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FISICOS'!$E$29:$N$29</c:f>
              <c:numCache>
                <c:formatCode>General</c:formatCode>
                <c:ptCount val="10"/>
                <c:pt idx="0">
                  <c:v>0</c:v>
                </c:pt>
                <c:pt idx="1">
                  <c:v>1125</c:v>
                </c:pt>
                <c:pt idx="2">
                  <c:v>1151</c:v>
                </c:pt>
                <c:pt idx="3">
                  <c:v>1265</c:v>
                </c:pt>
                <c:pt idx="4">
                  <c:v>1104</c:v>
                </c:pt>
                <c:pt idx="5">
                  <c:v>1113</c:v>
                </c:pt>
                <c:pt idx="6">
                  <c:v>1119</c:v>
                </c:pt>
                <c:pt idx="7">
                  <c:v>1060</c:v>
                </c:pt>
                <c:pt idx="8">
                  <c:v>1100</c:v>
                </c:pt>
                <c:pt idx="9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F-487A-B90C-D1D884FF03F8}"/>
            </c:ext>
          </c:extLst>
        </c:ser>
        <c:ser>
          <c:idx val="2"/>
          <c:order val="2"/>
          <c:tx>
            <c:strRef>
              <c:f>'PARAMETROS FISICOS'!$B$30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FISICOS'!$E$30:$N$30</c:f>
              <c:numCache>
                <c:formatCode>General</c:formatCode>
                <c:ptCount val="10"/>
                <c:pt idx="0">
                  <c:v>0</c:v>
                </c:pt>
                <c:pt idx="1">
                  <c:v>1500</c:v>
                </c:pt>
                <c:pt idx="2">
                  <c:v>1524</c:v>
                </c:pt>
                <c:pt idx="3">
                  <c:v>1475</c:v>
                </c:pt>
                <c:pt idx="4">
                  <c:v>1419</c:v>
                </c:pt>
                <c:pt idx="5">
                  <c:v>1505</c:v>
                </c:pt>
                <c:pt idx="6">
                  <c:v>1515</c:v>
                </c:pt>
                <c:pt idx="7">
                  <c:v>1522</c:v>
                </c:pt>
                <c:pt idx="8">
                  <c:v>1470</c:v>
                </c:pt>
                <c:pt idx="9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F-487A-B90C-D1D884FF03F8}"/>
            </c:ext>
          </c:extLst>
        </c:ser>
        <c:ser>
          <c:idx val="3"/>
          <c:order val="3"/>
          <c:tx>
            <c:strRef>
              <c:f>'PARAMETROS FISICOS'!$B$31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FISICOS'!$E$31:$N$31</c:f>
              <c:numCache>
                <c:formatCode>General</c:formatCode>
                <c:ptCount val="10"/>
                <c:pt idx="0">
                  <c:v>0</c:v>
                </c:pt>
                <c:pt idx="1">
                  <c:v>1350</c:v>
                </c:pt>
                <c:pt idx="2">
                  <c:v>1318</c:v>
                </c:pt>
                <c:pt idx="3">
                  <c:v>1365</c:v>
                </c:pt>
                <c:pt idx="4">
                  <c:v>1362</c:v>
                </c:pt>
                <c:pt idx="5">
                  <c:v>1382</c:v>
                </c:pt>
                <c:pt idx="6">
                  <c:v>1430</c:v>
                </c:pt>
                <c:pt idx="7">
                  <c:v>1358</c:v>
                </c:pt>
                <c:pt idx="8">
                  <c:v>1371</c:v>
                </c:pt>
                <c:pt idx="9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F-487A-B90C-D1D884FF03F8}"/>
            </c:ext>
          </c:extLst>
        </c:ser>
        <c:ser>
          <c:idx val="4"/>
          <c:order val="4"/>
          <c:tx>
            <c:strRef>
              <c:f>'PARAMETROS FISICOS'!$B$32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FISICOS'!$E$32:$N$32</c:f>
              <c:numCache>
                <c:formatCode>General</c:formatCode>
                <c:ptCount val="10"/>
                <c:pt idx="0">
                  <c:v>0</c:v>
                </c:pt>
                <c:pt idx="1">
                  <c:v>1130</c:v>
                </c:pt>
                <c:pt idx="2">
                  <c:v>1160</c:v>
                </c:pt>
                <c:pt idx="3">
                  <c:v>1275</c:v>
                </c:pt>
                <c:pt idx="4">
                  <c:v>1184</c:v>
                </c:pt>
                <c:pt idx="5">
                  <c:v>1212</c:v>
                </c:pt>
                <c:pt idx="6">
                  <c:v>1284</c:v>
                </c:pt>
                <c:pt idx="7">
                  <c:v>1206</c:v>
                </c:pt>
                <c:pt idx="8">
                  <c:v>1162</c:v>
                </c:pt>
                <c:pt idx="9">
                  <c:v>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5F-487A-B90C-D1D884FF03F8}"/>
            </c:ext>
          </c:extLst>
        </c:ser>
        <c:ser>
          <c:idx val="5"/>
          <c:order val="5"/>
          <c:tx>
            <c:strRef>
              <c:f>'PARAMETROS FISICOS'!$B$33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FISICOS'!$E$33:$N$33</c:f>
              <c:numCache>
                <c:formatCode>General</c:formatCode>
                <c:ptCount val="10"/>
                <c:pt idx="0">
                  <c:v>0</c:v>
                </c:pt>
                <c:pt idx="1">
                  <c:v>131.5</c:v>
                </c:pt>
                <c:pt idx="2">
                  <c:v>156.4</c:v>
                </c:pt>
                <c:pt idx="3">
                  <c:v>201.5</c:v>
                </c:pt>
                <c:pt idx="4">
                  <c:v>240</c:v>
                </c:pt>
                <c:pt idx="5">
                  <c:v>266</c:v>
                </c:pt>
                <c:pt idx="6">
                  <c:v>254</c:v>
                </c:pt>
                <c:pt idx="7">
                  <c:v>297</c:v>
                </c:pt>
                <c:pt idx="8">
                  <c:v>194.5</c:v>
                </c:pt>
                <c:pt idx="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5F-487A-B90C-D1D884FF03F8}"/>
            </c:ext>
          </c:extLst>
        </c:ser>
        <c:ser>
          <c:idx val="6"/>
          <c:order val="6"/>
          <c:tx>
            <c:strRef>
              <c:f>'PARAMETROS FISICOS'!$B$34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FISICOS'!$E$34:$N$34</c:f>
              <c:numCache>
                <c:formatCode>General</c:formatCode>
                <c:ptCount val="10"/>
                <c:pt idx="0">
                  <c:v>0</c:v>
                </c:pt>
                <c:pt idx="1">
                  <c:v>131</c:v>
                </c:pt>
                <c:pt idx="2">
                  <c:v>156.5</c:v>
                </c:pt>
                <c:pt idx="3">
                  <c:v>190.5</c:v>
                </c:pt>
                <c:pt idx="4">
                  <c:v>243</c:v>
                </c:pt>
                <c:pt idx="5">
                  <c:v>264</c:v>
                </c:pt>
                <c:pt idx="6">
                  <c:v>256</c:v>
                </c:pt>
                <c:pt idx="7">
                  <c:v>251</c:v>
                </c:pt>
                <c:pt idx="8">
                  <c:v>187</c:v>
                </c:pt>
                <c:pt idx="9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5F-487A-B90C-D1D884FF03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26976"/>
        <c:axId val="506427368"/>
        <c:extLst/>
      </c:barChart>
      <c:catAx>
        <c:axId val="50642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7368"/>
        <c:crosses val="autoZero"/>
        <c:auto val="1"/>
        <c:lblAlgn val="ctr"/>
        <c:lblOffset val="100"/>
        <c:noMultiLvlLbl val="0"/>
      </c:catAx>
      <c:valAx>
        <c:axId val="506427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4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FISICOS'!$B$39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FISICOS'!$F$39:$N$39</c:f>
              <c:numCache>
                <c:formatCode>0.0</c:formatCode>
                <c:ptCount val="9"/>
                <c:pt idx="0">
                  <c:v>8.3829999999999991</c:v>
                </c:pt>
                <c:pt idx="1">
                  <c:v>8.3829999999999991</c:v>
                </c:pt>
                <c:pt idx="2">
                  <c:v>7.55</c:v>
                </c:pt>
                <c:pt idx="3">
                  <c:v>6.61</c:v>
                </c:pt>
                <c:pt idx="4">
                  <c:v>7.33</c:v>
                </c:pt>
                <c:pt idx="5">
                  <c:v>7.29</c:v>
                </c:pt>
                <c:pt idx="6">
                  <c:v>6.76</c:v>
                </c:pt>
                <c:pt idx="7">
                  <c:v>7.87</c:v>
                </c:pt>
                <c:pt idx="8">
                  <c:v>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4-4D46-A6D2-7DF91A37DF1A}"/>
            </c:ext>
          </c:extLst>
        </c:ser>
        <c:ser>
          <c:idx val="1"/>
          <c:order val="1"/>
          <c:tx>
            <c:strRef>
              <c:f>'PARAMETROS FISICOS'!$B$40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FISICOS'!$F$40:$N$40</c:f>
              <c:numCache>
                <c:formatCode>0.0</c:formatCode>
                <c:ptCount val="9"/>
                <c:pt idx="0">
                  <c:v>8.26</c:v>
                </c:pt>
                <c:pt idx="1">
                  <c:v>8.26</c:v>
                </c:pt>
                <c:pt idx="2">
                  <c:v>7.4340000000000002</c:v>
                </c:pt>
                <c:pt idx="3">
                  <c:v>6.68</c:v>
                </c:pt>
                <c:pt idx="4">
                  <c:v>7.25</c:v>
                </c:pt>
                <c:pt idx="5">
                  <c:v>6.61</c:v>
                </c:pt>
                <c:pt idx="6">
                  <c:v>6.88</c:v>
                </c:pt>
                <c:pt idx="7">
                  <c:v>7.54</c:v>
                </c:pt>
                <c:pt idx="8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4-4D46-A6D2-7DF91A37DF1A}"/>
            </c:ext>
          </c:extLst>
        </c:ser>
        <c:ser>
          <c:idx val="2"/>
          <c:order val="2"/>
          <c:tx>
            <c:strRef>
              <c:f>'PARAMETROS FISICOS'!$B$41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FF6699"/>
            </a:solidFill>
            <a:ln>
              <a:solidFill>
                <a:srgbClr val="FF669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FISICOS'!$F$41:$N$41</c:f>
              <c:numCache>
                <c:formatCode>0.0</c:formatCode>
                <c:ptCount val="9"/>
                <c:pt idx="0">
                  <c:v>7.9619999999999997</c:v>
                </c:pt>
                <c:pt idx="1">
                  <c:v>7.9619999999999997</c:v>
                </c:pt>
                <c:pt idx="2">
                  <c:v>7.6040000000000001</c:v>
                </c:pt>
                <c:pt idx="3">
                  <c:v>6.12</c:v>
                </c:pt>
                <c:pt idx="4">
                  <c:v>7.34</c:v>
                </c:pt>
                <c:pt idx="5">
                  <c:v>7.03</c:v>
                </c:pt>
                <c:pt idx="6">
                  <c:v>6.9</c:v>
                </c:pt>
                <c:pt idx="7">
                  <c:v>7.23</c:v>
                </c:pt>
                <c:pt idx="8">
                  <c:v>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4-4D46-A6D2-7DF91A37DF1A}"/>
            </c:ext>
          </c:extLst>
        </c:ser>
        <c:ser>
          <c:idx val="3"/>
          <c:order val="3"/>
          <c:tx>
            <c:strRef>
              <c:f>'PARAMETROS FISICOS'!$B$42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FISICOS'!$F$42:$N$42</c:f>
              <c:numCache>
                <c:formatCode>0.0</c:formatCode>
                <c:ptCount val="9"/>
                <c:pt idx="0">
                  <c:v>7.944</c:v>
                </c:pt>
                <c:pt idx="1">
                  <c:v>7.944</c:v>
                </c:pt>
                <c:pt idx="2">
                  <c:v>7.7220000000000004</c:v>
                </c:pt>
                <c:pt idx="3">
                  <c:v>6.91</c:v>
                </c:pt>
                <c:pt idx="4">
                  <c:v>7.41</c:v>
                </c:pt>
                <c:pt idx="5">
                  <c:v>7.52</c:v>
                </c:pt>
                <c:pt idx="6">
                  <c:v>6.84</c:v>
                </c:pt>
                <c:pt idx="7">
                  <c:v>7.54</c:v>
                </c:pt>
                <c:pt idx="8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14-4D46-A6D2-7DF91A37DF1A}"/>
            </c:ext>
          </c:extLst>
        </c:ser>
        <c:ser>
          <c:idx val="4"/>
          <c:order val="4"/>
          <c:tx>
            <c:strRef>
              <c:f>'PARAMETROS FISICOS'!$B$43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FISICOS'!$F$43:$N$43</c:f>
              <c:numCache>
                <c:formatCode>0.0</c:formatCode>
                <c:ptCount val="9"/>
                <c:pt idx="0">
                  <c:v>7.9829999999999997</c:v>
                </c:pt>
                <c:pt idx="1">
                  <c:v>7.9829999999999997</c:v>
                </c:pt>
                <c:pt idx="2">
                  <c:v>7.8129999999999997</c:v>
                </c:pt>
                <c:pt idx="3">
                  <c:v>7.03</c:v>
                </c:pt>
                <c:pt idx="4">
                  <c:v>7.49</c:v>
                </c:pt>
                <c:pt idx="5">
                  <c:v>7.75</c:v>
                </c:pt>
                <c:pt idx="6">
                  <c:v>6.95</c:v>
                </c:pt>
                <c:pt idx="7">
                  <c:v>7.84</c:v>
                </c:pt>
                <c:pt idx="8">
                  <c:v>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14-4D46-A6D2-7DF91A37DF1A}"/>
            </c:ext>
          </c:extLst>
        </c:ser>
        <c:ser>
          <c:idx val="5"/>
          <c:order val="5"/>
          <c:tx>
            <c:strRef>
              <c:f>'PARAMETROS FISICOS'!$B$44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FISICOS'!$F$44:$N$44</c:f>
              <c:numCache>
                <c:formatCode>0.0</c:formatCode>
                <c:ptCount val="9"/>
                <c:pt idx="0">
                  <c:v>8.4410000000000007</c:v>
                </c:pt>
                <c:pt idx="1">
                  <c:v>8.4410000000000007</c:v>
                </c:pt>
                <c:pt idx="2">
                  <c:v>8.1489999999999991</c:v>
                </c:pt>
                <c:pt idx="3">
                  <c:v>7.4</c:v>
                </c:pt>
                <c:pt idx="4">
                  <c:v>7.74</c:v>
                </c:pt>
                <c:pt idx="5">
                  <c:v>8.2100000000000009</c:v>
                </c:pt>
                <c:pt idx="6">
                  <c:v>7.2</c:v>
                </c:pt>
                <c:pt idx="7">
                  <c:v>8.25</c:v>
                </c:pt>
                <c:pt idx="8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14-4D46-A6D2-7DF91A37DF1A}"/>
            </c:ext>
          </c:extLst>
        </c:ser>
        <c:ser>
          <c:idx val="6"/>
          <c:order val="6"/>
          <c:tx>
            <c:strRef>
              <c:f>'PARAMETROS FISICOS'!$B$45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FISICOS'!$F$45:$N$45</c:f>
              <c:numCache>
                <c:formatCode>0.0</c:formatCode>
                <c:ptCount val="9"/>
                <c:pt idx="0">
                  <c:v>8.2530000000000001</c:v>
                </c:pt>
                <c:pt idx="1">
                  <c:v>8.2530000000000001</c:v>
                </c:pt>
                <c:pt idx="2">
                  <c:v>8.0549999999999997</c:v>
                </c:pt>
                <c:pt idx="3">
                  <c:v>7.41</c:v>
                </c:pt>
                <c:pt idx="4">
                  <c:v>7.67</c:v>
                </c:pt>
                <c:pt idx="5">
                  <c:v>8</c:v>
                </c:pt>
                <c:pt idx="6">
                  <c:v>7.12</c:v>
                </c:pt>
                <c:pt idx="7">
                  <c:v>7.93</c:v>
                </c:pt>
                <c:pt idx="8">
                  <c:v>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14-4D46-A6D2-7DF91A37DF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28152"/>
        <c:axId val="506428544"/>
        <c:extLst/>
      </c:barChart>
      <c:catAx>
        <c:axId val="50642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8544"/>
        <c:crosses val="autoZero"/>
        <c:auto val="1"/>
        <c:lblAlgn val="ctr"/>
        <c:lblOffset val="100"/>
        <c:noMultiLvlLbl val="0"/>
      </c:catAx>
      <c:valAx>
        <c:axId val="50642854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642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temperatura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FISICOS'!$B$50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FISICOS'!$F$50:$N$50</c:f>
              <c:numCache>
                <c:formatCode>0.0</c:formatCode>
                <c:ptCount val="9"/>
                <c:pt idx="0" formatCode="General">
                  <c:v>26.5</c:v>
                </c:pt>
                <c:pt idx="1">
                  <c:v>27</c:v>
                </c:pt>
                <c:pt idx="2">
                  <c:v>24</c:v>
                </c:pt>
                <c:pt idx="3" formatCode="General">
                  <c:v>23.4</c:v>
                </c:pt>
                <c:pt idx="4" formatCode="General">
                  <c:v>21.6</c:v>
                </c:pt>
                <c:pt idx="5">
                  <c:v>25</c:v>
                </c:pt>
                <c:pt idx="6" formatCode="General">
                  <c:v>24.8</c:v>
                </c:pt>
                <c:pt idx="7" formatCode="General">
                  <c:v>26.6</c:v>
                </c:pt>
                <c:pt idx="8" formatCode="General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E-4729-815A-E5493690B22A}"/>
            </c:ext>
          </c:extLst>
        </c:ser>
        <c:ser>
          <c:idx val="1"/>
          <c:order val="1"/>
          <c:tx>
            <c:strRef>
              <c:f>'PARAMETROS FISICOS'!$B$51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FISICOS'!$F$51:$N$51</c:f>
              <c:numCache>
                <c:formatCode>General</c:formatCode>
                <c:ptCount val="9"/>
                <c:pt idx="0">
                  <c:v>26.1</c:v>
                </c:pt>
                <c:pt idx="1">
                  <c:v>26.3</c:v>
                </c:pt>
                <c:pt idx="2">
                  <c:v>23.8</c:v>
                </c:pt>
                <c:pt idx="3">
                  <c:v>24.2</c:v>
                </c:pt>
                <c:pt idx="4">
                  <c:v>21.6</c:v>
                </c:pt>
                <c:pt idx="5">
                  <c:v>24.9</c:v>
                </c:pt>
                <c:pt idx="6">
                  <c:v>23.8</c:v>
                </c:pt>
                <c:pt idx="7">
                  <c:v>26.4</c:v>
                </c:pt>
                <c:pt idx="8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E-4729-815A-E5493690B22A}"/>
            </c:ext>
          </c:extLst>
        </c:ser>
        <c:ser>
          <c:idx val="2"/>
          <c:order val="2"/>
          <c:tx>
            <c:strRef>
              <c:f>'PARAMETROS FISICOS'!$B$52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FISICOS'!$F$52:$N$52</c:f>
              <c:numCache>
                <c:formatCode>General</c:formatCode>
                <c:ptCount val="9"/>
                <c:pt idx="0">
                  <c:v>25.7</c:v>
                </c:pt>
                <c:pt idx="1">
                  <c:v>26.7</c:v>
                </c:pt>
                <c:pt idx="2">
                  <c:v>23.9</c:v>
                </c:pt>
                <c:pt idx="3" formatCode="0.0">
                  <c:v>24</c:v>
                </c:pt>
                <c:pt idx="4">
                  <c:v>21.6</c:v>
                </c:pt>
                <c:pt idx="5">
                  <c:v>25.2</c:v>
                </c:pt>
                <c:pt idx="6">
                  <c:v>24.5</c:v>
                </c:pt>
                <c:pt idx="7">
                  <c:v>26.5</c:v>
                </c:pt>
                <c:pt idx="8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FE-4729-815A-E5493690B22A}"/>
            </c:ext>
          </c:extLst>
        </c:ser>
        <c:ser>
          <c:idx val="3"/>
          <c:order val="3"/>
          <c:tx>
            <c:strRef>
              <c:f>'PARAMETROS FISICOS'!$B$53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FISICOS'!$F$53:$N$53</c:f>
              <c:numCache>
                <c:formatCode>General</c:formatCode>
                <c:ptCount val="9"/>
                <c:pt idx="0">
                  <c:v>25.9</c:v>
                </c:pt>
                <c:pt idx="1">
                  <c:v>26.7</c:v>
                </c:pt>
                <c:pt idx="2">
                  <c:v>24.1</c:v>
                </c:pt>
                <c:pt idx="3">
                  <c:v>24.4</c:v>
                </c:pt>
                <c:pt idx="4">
                  <c:v>21.7</c:v>
                </c:pt>
                <c:pt idx="5">
                  <c:v>24.2</c:v>
                </c:pt>
                <c:pt idx="6">
                  <c:v>24.6</c:v>
                </c:pt>
                <c:pt idx="7">
                  <c:v>26.5</c:v>
                </c:pt>
                <c:pt idx="8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E-4729-815A-E5493690B22A}"/>
            </c:ext>
          </c:extLst>
        </c:ser>
        <c:ser>
          <c:idx val="4"/>
          <c:order val="4"/>
          <c:tx>
            <c:strRef>
              <c:f>'PARAMETROS FISICOS'!$B$54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FISICOS'!$F$54:$N$54</c:f>
              <c:numCache>
                <c:formatCode>General</c:formatCode>
                <c:ptCount val="9"/>
                <c:pt idx="0">
                  <c:v>25.9</c:v>
                </c:pt>
                <c:pt idx="1">
                  <c:v>26.6</c:v>
                </c:pt>
                <c:pt idx="2" formatCode="0.0">
                  <c:v>24</c:v>
                </c:pt>
                <c:pt idx="3" formatCode="0.0">
                  <c:v>23</c:v>
                </c:pt>
                <c:pt idx="4">
                  <c:v>21.7</c:v>
                </c:pt>
                <c:pt idx="5">
                  <c:v>23.2</c:v>
                </c:pt>
                <c:pt idx="6">
                  <c:v>24.2</c:v>
                </c:pt>
                <c:pt idx="7">
                  <c:v>26.8</c:v>
                </c:pt>
                <c:pt idx="8" formatCode="0.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FE-4729-815A-E5493690B22A}"/>
            </c:ext>
          </c:extLst>
        </c:ser>
        <c:ser>
          <c:idx val="5"/>
          <c:order val="5"/>
          <c:tx>
            <c:strRef>
              <c:f>'PARAMETROS FISICOS'!$B$55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FISICOS'!$F$55:$N$55</c:f>
              <c:numCache>
                <c:formatCode>General</c:formatCode>
                <c:ptCount val="9"/>
                <c:pt idx="0">
                  <c:v>24.9</c:v>
                </c:pt>
                <c:pt idx="1">
                  <c:v>23.2</c:v>
                </c:pt>
                <c:pt idx="2">
                  <c:v>23.9</c:v>
                </c:pt>
                <c:pt idx="3">
                  <c:v>23.3</c:v>
                </c:pt>
                <c:pt idx="4">
                  <c:v>21.6</c:v>
                </c:pt>
                <c:pt idx="5">
                  <c:v>21.5</c:v>
                </c:pt>
                <c:pt idx="6" formatCode="0.0">
                  <c:v>22</c:v>
                </c:pt>
                <c:pt idx="7">
                  <c:v>22.8</c:v>
                </c:pt>
                <c:pt idx="8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FE-4729-815A-E5493690B22A}"/>
            </c:ext>
          </c:extLst>
        </c:ser>
        <c:ser>
          <c:idx val="6"/>
          <c:order val="6"/>
          <c:tx>
            <c:strRef>
              <c:f>'PARAMETROS FISICOS'!$B$56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FISICOS'!$F$56:$N$56</c:f>
              <c:numCache>
                <c:formatCode>General</c:formatCode>
                <c:ptCount val="9"/>
                <c:pt idx="0">
                  <c:v>23.6</c:v>
                </c:pt>
                <c:pt idx="1">
                  <c:v>22.7</c:v>
                </c:pt>
                <c:pt idx="2">
                  <c:v>23.9</c:v>
                </c:pt>
                <c:pt idx="3">
                  <c:v>22.7</c:v>
                </c:pt>
                <c:pt idx="4">
                  <c:v>21.8</c:v>
                </c:pt>
                <c:pt idx="5">
                  <c:v>20.5</c:v>
                </c:pt>
                <c:pt idx="6">
                  <c:v>22.4</c:v>
                </c:pt>
                <c:pt idx="7">
                  <c:v>23.8</c:v>
                </c:pt>
                <c:pt idx="8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FE-4729-815A-E5493690B2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29328"/>
        <c:axId val="506429720"/>
        <c:extLst/>
      </c:barChart>
      <c:catAx>
        <c:axId val="50642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29720"/>
        <c:crosses val="autoZero"/>
        <c:auto val="1"/>
        <c:lblAlgn val="ctr"/>
        <c:lblOffset val="100"/>
        <c:noMultiLvlLbl val="0"/>
      </c:catAx>
      <c:valAx>
        <c:axId val="506429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42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SULFATOS  (SO₄²-))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FISICOS'!$B$62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FISICOS'!$E$62:$N$62</c:f>
              <c:numCache>
                <c:formatCode>General</c:formatCode>
                <c:ptCount val="10"/>
                <c:pt idx="0">
                  <c:v>140</c:v>
                </c:pt>
                <c:pt idx="1">
                  <c:v>140</c:v>
                </c:pt>
                <c:pt idx="2">
                  <c:v>198</c:v>
                </c:pt>
                <c:pt idx="3">
                  <c:v>170</c:v>
                </c:pt>
                <c:pt idx="4">
                  <c:v>195</c:v>
                </c:pt>
                <c:pt idx="5">
                  <c:v>220</c:v>
                </c:pt>
                <c:pt idx="6">
                  <c:v>185</c:v>
                </c:pt>
                <c:pt idx="7">
                  <c:v>200</c:v>
                </c:pt>
                <c:pt idx="8">
                  <c:v>175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7-4CB7-80C6-1FA683963656}"/>
            </c:ext>
          </c:extLst>
        </c:ser>
        <c:ser>
          <c:idx val="1"/>
          <c:order val="1"/>
          <c:tx>
            <c:strRef>
              <c:f>'PARAMETROS FISICOS'!$B$63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FISICOS'!$E$63:$N$63</c:f>
              <c:numCache>
                <c:formatCode>General</c:formatCode>
                <c:ptCount val="10"/>
                <c:pt idx="0">
                  <c:v>132</c:v>
                </c:pt>
                <c:pt idx="1">
                  <c:v>108</c:v>
                </c:pt>
                <c:pt idx="2">
                  <c:v>111</c:v>
                </c:pt>
                <c:pt idx="3">
                  <c:v>115</c:v>
                </c:pt>
                <c:pt idx="4">
                  <c:v>170</c:v>
                </c:pt>
                <c:pt idx="5">
                  <c:v>140</c:v>
                </c:pt>
                <c:pt idx="6">
                  <c:v>140</c:v>
                </c:pt>
                <c:pt idx="7">
                  <c:v>150</c:v>
                </c:pt>
                <c:pt idx="8">
                  <c:v>190</c:v>
                </c:pt>
                <c:pt idx="9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7-4CB7-80C6-1FA683963656}"/>
            </c:ext>
          </c:extLst>
        </c:ser>
        <c:ser>
          <c:idx val="2"/>
          <c:order val="2"/>
          <c:tx>
            <c:strRef>
              <c:f>'PARAMETROS FISICOS'!$B$64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FISICOS'!$E$64:$N$64</c:f>
              <c:numCache>
                <c:formatCode>General</c:formatCode>
                <c:ptCount val="10"/>
                <c:pt idx="0">
                  <c:v>138</c:v>
                </c:pt>
                <c:pt idx="1">
                  <c:v>118</c:v>
                </c:pt>
                <c:pt idx="2">
                  <c:v>192</c:v>
                </c:pt>
                <c:pt idx="3">
                  <c:v>130</c:v>
                </c:pt>
                <c:pt idx="4">
                  <c:v>175</c:v>
                </c:pt>
                <c:pt idx="5">
                  <c:v>230</c:v>
                </c:pt>
                <c:pt idx="6">
                  <c:v>165</c:v>
                </c:pt>
                <c:pt idx="7">
                  <c:v>190</c:v>
                </c:pt>
                <c:pt idx="8">
                  <c:v>160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7-4CB7-80C6-1FA683963656}"/>
            </c:ext>
          </c:extLst>
        </c:ser>
        <c:ser>
          <c:idx val="3"/>
          <c:order val="3"/>
          <c:tx>
            <c:strRef>
              <c:f>'PARAMETROS FISICOS'!$B$65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FISICOS'!$E$65:$N$65</c:f>
              <c:numCache>
                <c:formatCode>General</c:formatCode>
                <c:ptCount val="10"/>
                <c:pt idx="0">
                  <c:v>136</c:v>
                </c:pt>
                <c:pt idx="1">
                  <c:v>240</c:v>
                </c:pt>
                <c:pt idx="2">
                  <c:v>213</c:v>
                </c:pt>
                <c:pt idx="3">
                  <c:v>110</c:v>
                </c:pt>
                <c:pt idx="4">
                  <c:v>165</c:v>
                </c:pt>
                <c:pt idx="5">
                  <c:v>230</c:v>
                </c:pt>
                <c:pt idx="6">
                  <c:v>180</c:v>
                </c:pt>
                <c:pt idx="7">
                  <c:v>195</c:v>
                </c:pt>
                <c:pt idx="8">
                  <c:v>170</c:v>
                </c:pt>
                <c:pt idx="9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7-4CB7-80C6-1FA683963656}"/>
            </c:ext>
          </c:extLst>
        </c:ser>
        <c:ser>
          <c:idx val="4"/>
          <c:order val="4"/>
          <c:tx>
            <c:strRef>
              <c:f>'PARAMETROS FISICOS'!$B$66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FISICOS'!$E$66:$N$66</c:f>
              <c:numCache>
                <c:formatCode>General</c:formatCode>
                <c:ptCount val="10"/>
                <c:pt idx="0">
                  <c:v>134</c:v>
                </c:pt>
                <c:pt idx="1">
                  <c:v>100</c:v>
                </c:pt>
                <c:pt idx="2">
                  <c:v>189</c:v>
                </c:pt>
                <c:pt idx="3">
                  <c:v>135</c:v>
                </c:pt>
                <c:pt idx="4">
                  <c:v>130</c:v>
                </c:pt>
                <c:pt idx="5">
                  <c:v>205</c:v>
                </c:pt>
                <c:pt idx="6">
                  <c:v>180</c:v>
                </c:pt>
                <c:pt idx="7">
                  <c:v>230</c:v>
                </c:pt>
                <c:pt idx="8">
                  <c:v>225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7-4CB7-80C6-1FA683963656}"/>
            </c:ext>
          </c:extLst>
        </c:ser>
        <c:ser>
          <c:idx val="5"/>
          <c:order val="5"/>
          <c:tx>
            <c:strRef>
              <c:f>'PARAMETROS FISICOS'!$B$67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FISICOS'!$E$67:$N$67</c:f>
              <c:numCache>
                <c:formatCode>General</c:formatCode>
                <c:ptCount val="10"/>
                <c:pt idx="0">
                  <c:v>65</c:v>
                </c:pt>
                <c:pt idx="1">
                  <c:v>74</c:v>
                </c:pt>
                <c:pt idx="2">
                  <c:v>84</c:v>
                </c:pt>
                <c:pt idx="3">
                  <c:v>400</c:v>
                </c:pt>
                <c:pt idx="4">
                  <c:v>100</c:v>
                </c:pt>
                <c:pt idx="5">
                  <c:v>130</c:v>
                </c:pt>
                <c:pt idx="6">
                  <c:v>110</c:v>
                </c:pt>
                <c:pt idx="7">
                  <c:v>100</c:v>
                </c:pt>
                <c:pt idx="8">
                  <c:v>140</c:v>
                </c:pt>
                <c:pt idx="9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7-4CB7-80C6-1FA683963656}"/>
            </c:ext>
          </c:extLst>
        </c:ser>
        <c:ser>
          <c:idx val="6"/>
          <c:order val="6"/>
          <c:tx>
            <c:strRef>
              <c:f>'PARAMETROS FISICOS'!$B$68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FISICOS'!$E$68:$N$68</c:f>
              <c:numCache>
                <c:formatCode>General</c:formatCode>
                <c:ptCount val="10"/>
                <c:pt idx="0">
                  <c:v>62</c:v>
                </c:pt>
                <c:pt idx="1">
                  <c:v>66</c:v>
                </c:pt>
                <c:pt idx="2">
                  <c:v>87</c:v>
                </c:pt>
                <c:pt idx="3">
                  <c:v>540</c:v>
                </c:pt>
                <c:pt idx="4">
                  <c:v>125</c:v>
                </c:pt>
                <c:pt idx="5">
                  <c:v>120</c:v>
                </c:pt>
                <c:pt idx="6">
                  <c:v>85</c:v>
                </c:pt>
                <c:pt idx="7">
                  <c:v>95</c:v>
                </c:pt>
                <c:pt idx="8">
                  <c:v>125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7-4CB7-80C6-1FA683963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30504"/>
        <c:axId val="506430896"/>
        <c:extLst/>
      </c:barChart>
      <c:catAx>
        <c:axId val="50643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30896"/>
        <c:crosses val="autoZero"/>
        <c:auto val="1"/>
        <c:lblAlgn val="ctr"/>
        <c:lblOffset val="100"/>
        <c:noMultiLvlLbl val="0"/>
      </c:catAx>
      <c:valAx>
        <c:axId val="506430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43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CLORUROS (Cl-)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FISICOS'!$B$73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FISICOS'!$E$73:$N$73</c:f>
              <c:numCache>
                <c:formatCode>0</c:formatCode>
                <c:ptCount val="10"/>
                <c:pt idx="0">
                  <c:v>5.9</c:v>
                </c:pt>
                <c:pt idx="1">
                  <c:v>976</c:v>
                </c:pt>
                <c:pt idx="2">
                  <c:v>52.800000000000004</c:v>
                </c:pt>
                <c:pt idx="3">
                  <c:v>331.2</c:v>
                </c:pt>
                <c:pt idx="8">
                  <c:v>341.89398000000006</c:v>
                </c:pt>
                <c:pt idx="9">
                  <c:v>191.94047999999998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0-4971-9BA0-C5917879BD89}"/>
            </c:ext>
          </c:extLst>
        </c:ser>
        <c:ser>
          <c:idx val="1"/>
          <c:order val="1"/>
          <c:tx>
            <c:strRef>
              <c:f>'PARAMETROS FISICOS'!$B$74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rgbClr val="99FFCC"/>
            </a:solidFill>
            <a:ln>
              <a:solidFill>
                <a:srgbClr val="99FFC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FISICOS'!$E$74:$N$74</c:f>
              <c:numCache>
                <c:formatCode>0</c:formatCode>
                <c:ptCount val="10"/>
                <c:pt idx="0">
                  <c:v>6.9</c:v>
                </c:pt>
                <c:pt idx="1">
                  <c:v>698</c:v>
                </c:pt>
                <c:pt idx="2">
                  <c:v>51.900000000000006</c:v>
                </c:pt>
                <c:pt idx="3">
                  <c:v>76.400000000000006</c:v>
                </c:pt>
                <c:pt idx="8">
                  <c:v>352.39072500000003</c:v>
                </c:pt>
                <c:pt idx="9">
                  <c:v>229.428855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0-4971-9BA0-C5917879BD89}"/>
            </c:ext>
          </c:extLst>
        </c:ser>
        <c:ser>
          <c:idx val="2"/>
          <c:order val="2"/>
          <c:tx>
            <c:strRef>
              <c:f>'PARAMETROS FISICOS'!$B$75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FISICOS'!$E$75:$N$75</c:f>
              <c:numCache>
                <c:formatCode>0</c:formatCode>
                <c:ptCount val="10"/>
                <c:pt idx="0">
                  <c:v>3.3</c:v>
                </c:pt>
                <c:pt idx="1">
                  <c:v>907</c:v>
                </c:pt>
                <c:pt idx="2">
                  <c:v>15</c:v>
                </c:pt>
                <c:pt idx="3">
                  <c:v>26.8</c:v>
                </c:pt>
                <c:pt idx="8">
                  <c:v>278.91350999999997</c:v>
                </c:pt>
                <c:pt idx="9">
                  <c:v>278.91350999999997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0-4971-9BA0-C5917879BD89}"/>
            </c:ext>
          </c:extLst>
        </c:ser>
        <c:ser>
          <c:idx val="3"/>
          <c:order val="3"/>
          <c:tx>
            <c:strRef>
              <c:f>'PARAMETROS FISICOS'!$B$76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FISICOS'!$E$76:$N$76</c:f>
              <c:numCache>
                <c:formatCode>0</c:formatCode>
                <c:ptCount val="10"/>
                <c:pt idx="0">
                  <c:v>5.6</c:v>
                </c:pt>
                <c:pt idx="1">
                  <c:v>850</c:v>
                </c:pt>
                <c:pt idx="2">
                  <c:v>23.700000000000003</c:v>
                </c:pt>
                <c:pt idx="3">
                  <c:v>46.4</c:v>
                </c:pt>
                <c:pt idx="8">
                  <c:v>200.93769</c:v>
                </c:pt>
                <c:pt idx="9">
                  <c:v>185.94234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0-4971-9BA0-C5917879BD89}"/>
            </c:ext>
          </c:extLst>
        </c:ser>
        <c:ser>
          <c:idx val="4"/>
          <c:order val="4"/>
          <c:tx>
            <c:strRef>
              <c:f>'PARAMETROS FISICOS'!$B$77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FISICOS'!$E$77:$N$77</c:f>
              <c:numCache>
                <c:formatCode>0</c:formatCode>
                <c:ptCount val="10"/>
                <c:pt idx="0">
                  <c:v>7.9</c:v>
                </c:pt>
                <c:pt idx="1">
                  <c:v>630</c:v>
                </c:pt>
                <c:pt idx="2">
                  <c:v>30.900000000000002</c:v>
                </c:pt>
                <c:pt idx="3">
                  <c:v>43.2</c:v>
                </c:pt>
                <c:pt idx="8">
                  <c:v>182.94326999999998</c:v>
                </c:pt>
                <c:pt idx="9">
                  <c:v>182.94326999999998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0-4971-9BA0-C5917879BD89}"/>
            </c:ext>
          </c:extLst>
        </c:ser>
        <c:ser>
          <c:idx val="5"/>
          <c:order val="5"/>
          <c:tx>
            <c:strRef>
              <c:f>'PARAMETROS FISICOS'!$B$78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FISICOS'!$E$78:$N$78</c:f>
              <c:numCache>
                <c:formatCode>0</c:formatCode>
                <c:ptCount val="10"/>
                <c:pt idx="0">
                  <c:v>4.3</c:v>
                </c:pt>
                <c:pt idx="1">
                  <c:v>143</c:v>
                </c:pt>
                <c:pt idx="2">
                  <c:v>7.5</c:v>
                </c:pt>
                <c:pt idx="3">
                  <c:v>157.6</c:v>
                </c:pt>
                <c:pt idx="8">
                  <c:v>71.977679999999992</c:v>
                </c:pt>
                <c:pt idx="9">
                  <c:v>50.984189999999998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40-4971-9BA0-C5917879BD89}"/>
            </c:ext>
          </c:extLst>
        </c:ser>
        <c:ser>
          <c:idx val="6"/>
          <c:order val="6"/>
          <c:tx>
            <c:strRef>
              <c:f>'PARAMETROS FISICOS'!$B$79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FISICOS'!$E$79:$N$79</c:f>
              <c:numCache>
                <c:formatCode>0</c:formatCode>
                <c:ptCount val="10"/>
                <c:pt idx="0">
                  <c:v>4.4000000000000004</c:v>
                </c:pt>
                <c:pt idx="1">
                  <c:v>117</c:v>
                </c:pt>
                <c:pt idx="2">
                  <c:v>13.5</c:v>
                </c:pt>
                <c:pt idx="3">
                  <c:v>22.4</c:v>
                </c:pt>
                <c:pt idx="8">
                  <c:v>38.987909999999999</c:v>
                </c:pt>
                <c:pt idx="9">
                  <c:v>41.986979999999988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40-4971-9BA0-C5917879BD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31680"/>
        <c:axId val="506432072"/>
        <c:extLst/>
      </c:barChart>
      <c:catAx>
        <c:axId val="50643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32072"/>
        <c:crosses val="autoZero"/>
        <c:auto val="1"/>
        <c:lblAlgn val="ctr"/>
        <c:lblOffset val="100"/>
        <c:noMultiLvlLbl val="0"/>
      </c:catAx>
      <c:valAx>
        <c:axId val="5064320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064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NITRATOS (NO</a:t>
            </a:r>
            <a:r>
              <a:rPr lang="es-PE" sz="1200"/>
              <a:t>3</a:t>
            </a:r>
            <a:r>
              <a:rPr lang="es-PE"/>
              <a:t>-)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FISICOS'!$B$84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FISICOS'!$E$84:$N$84</c:f>
              <c:numCache>
                <c:formatCode>0.0</c:formatCode>
                <c:ptCount val="10"/>
                <c:pt idx="0">
                  <c:v>5.4</c:v>
                </c:pt>
                <c:pt idx="1">
                  <c:v>6.8</c:v>
                </c:pt>
                <c:pt idx="2">
                  <c:v>9.8000000000000007</c:v>
                </c:pt>
                <c:pt idx="3">
                  <c:v>0</c:v>
                </c:pt>
                <c:pt idx="4">
                  <c:v>4.3</c:v>
                </c:pt>
                <c:pt idx="5">
                  <c:v>3.1</c:v>
                </c:pt>
                <c:pt idx="6">
                  <c:v>5.4</c:v>
                </c:pt>
                <c:pt idx="7">
                  <c:v>12.4</c:v>
                </c:pt>
                <c:pt idx="8">
                  <c:v>10.8</c:v>
                </c:pt>
                <c:pt idx="9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D-4D83-A06F-4C15AB192B3A}"/>
            </c:ext>
          </c:extLst>
        </c:ser>
        <c:ser>
          <c:idx val="1"/>
          <c:order val="1"/>
          <c:tx>
            <c:strRef>
              <c:f>'PARAMETROS FISICOS'!$B$85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FISICOS'!$E$85:$N$85</c:f>
              <c:numCache>
                <c:formatCode>0.0</c:formatCode>
                <c:ptCount val="10"/>
                <c:pt idx="0">
                  <c:v>6.5</c:v>
                </c:pt>
                <c:pt idx="1">
                  <c:v>5.5</c:v>
                </c:pt>
                <c:pt idx="2">
                  <c:v>7</c:v>
                </c:pt>
                <c:pt idx="3">
                  <c:v>6.5</c:v>
                </c:pt>
                <c:pt idx="4">
                  <c:v>5.3</c:v>
                </c:pt>
                <c:pt idx="5">
                  <c:v>4.0999999999999996</c:v>
                </c:pt>
                <c:pt idx="6">
                  <c:v>4.7</c:v>
                </c:pt>
                <c:pt idx="7">
                  <c:v>11.6</c:v>
                </c:pt>
                <c:pt idx="8">
                  <c:v>10.199999999999999</c:v>
                </c:pt>
                <c:pt idx="9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D-4D83-A06F-4C15AB192B3A}"/>
            </c:ext>
          </c:extLst>
        </c:ser>
        <c:ser>
          <c:idx val="2"/>
          <c:order val="2"/>
          <c:tx>
            <c:strRef>
              <c:f>'PARAMETROS FISICOS'!$B$86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99FFCC"/>
            </a:solidFill>
            <a:ln>
              <a:solidFill>
                <a:srgbClr val="99FFC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FISICOS'!$E$86:$N$86</c:f>
              <c:numCache>
                <c:formatCode>0.0</c:formatCode>
                <c:ptCount val="10"/>
                <c:pt idx="0">
                  <c:v>5.6</c:v>
                </c:pt>
                <c:pt idx="1">
                  <c:v>5</c:v>
                </c:pt>
                <c:pt idx="2">
                  <c:v>5.7</c:v>
                </c:pt>
                <c:pt idx="3">
                  <c:v>5.6</c:v>
                </c:pt>
                <c:pt idx="4">
                  <c:v>5.5</c:v>
                </c:pt>
                <c:pt idx="5">
                  <c:v>3.1</c:v>
                </c:pt>
                <c:pt idx="6">
                  <c:v>5.0999999999999996</c:v>
                </c:pt>
                <c:pt idx="7">
                  <c:v>12.6</c:v>
                </c:pt>
                <c:pt idx="8">
                  <c:v>9.3000000000000007</c:v>
                </c:pt>
                <c:pt idx="9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D-4D83-A06F-4C15AB192B3A}"/>
            </c:ext>
          </c:extLst>
        </c:ser>
        <c:ser>
          <c:idx val="3"/>
          <c:order val="3"/>
          <c:tx>
            <c:strRef>
              <c:f>'PARAMETROS FISICOS'!$B$87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FISICOS'!$E$87:$N$87</c:f>
              <c:numCache>
                <c:formatCode>0.0</c:formatCode>
                <c:ptCount val="10"/>
                <c:pt idx="0">
                  <c:v>5.2</c:v>
                </c:pt>
                <c:pt idx="1">
                  <c:v>4.2</c:v>
                </c:pt>
                <c:pt idx="2">
                  <c:v>2</c:v>
                </c:pt>
                <c:pt idx="3">
                  <c:v>3.5</c:v>
                </c:pt>
                <c:pt idx="4">
                  <c:v>5.2</c:v>
                </c:pt>
                <c:pt idx="5">
                  <c:v>3.2</c:v>
                </c:pt>
                <c:pt idx="6">
                  <c:v>5</c:v>
                </c:pt>
                <c:pt idx="7">
                  <c:v>12.3</c:v>
                </c:pt>
                <c:pt idx="8">
                  <c:v>9.5</c:v>
                </c:pt>
                <c:pt idx="9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D-4D83-A06F-4C15AB192B3A}"/>
            </c:ext>
          </c:extLst>
        </c:ser>
        <c:ser>
          <c:idx val="4"/>
          <c:order val="4"/>
          <c:tx>
            <c:strRef>
              <c:f>'PARAMETROS FISICOS'!$B$88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FISICOS'!$E$88:$N$88</c:f>
              <c:numCache>
                <c:formatCode>0.0</c:formatCode>
                <c:ptCount val="10"/>
                <c:pt idx="0">
                  <c:v>6.5</c:v>
                </c:pt>
                <c:pt idx="1">
                  <c:v>3.1</c:v>
                </c:pt>
                <c:pt idx="2">
                  <c:v>4.8</c:v>
                </c:pt>
                <c:pt idx="3">
                  <c:v>4.2</c:v>
                </c:pt>
                <c:pt idx="4">
                  <c:v>3.9</c:v>
                </c:pt>
                <c:pt idx="5">
                  <c:v>3.4</c:v>
                </c:pt>
                <c:pt idx="6">
                  <c:v>4.9000000000000004</c:v>
                </c:pt>
                <c:pt idx="7">
                  <c:v>13.7</c:v>
                </c:pt>
                <c:pt idx="8">
                  <c:v>8.8000000000000007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5D-4D83-A06F-4C15AB192B3A}"/>
            </c:ext>
          </c:extLst>
        </c:ser>
        <c:ser>
          <c:idx val="5"/>
          <c:order val="5"/>
          <c:tx>
            <c:strRef>
              <c:f>'PARAMETROS FISICOS'!$B$89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FISICOS'!$E$89:$N$89</c:f>
              <c:numCache>
                <c:formatCode>0.0</c:formatCode>
                <c:ptCount val="10"/>
                <c:pt idx="0">
                  <c:v>3.4</c:v>
                </c:pt>
                <c:pt idx="1">
                  <c:v>0.7</c:v>
                </c:pt>
                <c:pt idx="2">
                  <c:v>2.6</c:v>
                </c:pt>
                <c:pt idx="3">
                  <c:v>7.8</c:v>
                </c:pt>
                <c:pt idx="4">
                  <c:v>0.8</c:v>
                </c:pt>
                <c:pt idx="5">
                  <c:v>0.5</c:v>
                </c:pt>
                <c:pt idx="6">
                  <c:v>1.1000000000000001</c:v>
                </c:pt>
                <c:pt idx="7">
                  <c:v>10.3</c:v>
                </c:pt>
                <c:pt idx="8">
                  <c:v>7.6</c:v>
                </c:pt>
                <c:pt idx="9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5D-4D83-A06F-4C15AB192B3A}"/>
            </c:ext>
          </c:extLst>
        </c:ser>
        <c:ser>
          <c:idx val="6"/>
          <c:order val="6"/>
          <c:tx>
            <c:strRef>
              <c:f>'PARAMETROS FISICOS'!$B$90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FISICOS'!$E$90:$N$90</c:f>
              <c:numCache>
                <c:formatCode>0.0</c:formatCode>
                <c:ptCount val="10"/>
                <c:pt idx="0">
                  <c:v>4.5999999999999996</c:v>
                </c:pt>
                <c:pt idx="1">
                  <c:v>1</c:v>
                </c:pt>
                <c:pt idx="2">
                  <c:v>1.5</c:v>
                </c:pt>
                <c:pt idx="3">
                  <c:v>10</c:v>
                </c:pt>
                <c:pt idx="4">
                  <c:v>1.1000000000000001</c:v>
                </c:pt>
                <c:pt idx="5">
                  <c:v>1</c:v>
                </c:pt>
                <c:pt idx="6">
                  <c:v>1.2</c:v>
                </c:pt>
                <c:pt idx="7">
                  <c:v>11.2</c:v>
                </c:pt>
                <c:pt idx="8">
                  <c:v>5</c:v>
                </c:pt>
                <c:pt idx="9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5D-4D83-A06F-4C15AB192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32856"/>
        <c:axId val="506433248"/>
        <c:extLst/>
      </c:barChart>
      <c:catAx>
        <c:axId val="50643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33248"/>
        <c:crosses val="autoZero"/>
        <c:auto val="1"/>
        <c:lblAlgn val="ctr"/>
        <c:lblOffset val="100"/>
        <c:noMultiLvlLbl val="0"/>
      </c:catAx>
      <c:valAx>
        <c:axId val="50643324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643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NITRiTOS (NO</a:t>
            </a:r>
            <a:r>
              <a:rPr lang="es-PE" sz="1200"/>
              <a:t>2</a:t>
            </a:r>
            <a:r>
              <a:rPr lang="es-PE"/>
              <a:t>-)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FISICOS'!$B$95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FISICOS'!$E$95:$N$95</c:f>
              <c:numCache>
                <c:formatCode>0.0</c:formatCode>
                <c:ptCount val="10"/>
                <c:pt idx="0">
                  <c:v>11</c:v>
                </c:pt>
                <c:pt idx="8">
                  <c:v>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7C1-BA8B-65C2EE337E8F}"/>
            </c:ext>
          </c:extLst>
        </c:ser>
        <c:ser>
          <c:idx val="1"/>
          <c:order val="1"/>
          <c:tx>
            <c:strRef>
              <c:f>'PARAMETROS FISICOS'!$B$96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FISICOS'!$E$96:$N$96</c:f>
              <c:numCache>
                <c:formatCode>0.0</c:formatCode>
                <c:ptCount val="10"/>
                <c:pt idx="0">
                  <c:v>13</c:v>
                </c:pt>
                <c:pt idx="8">
                  <c:v>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F-47C1-BA8B-65C2EE337E8F}"/>
            </c:ext>
          </c:extLst>
        </c:ser>
        <c:ser>
          <c:idx val="2"/>
          <c:order val="2"/>
          <c:tx>
            <c:strRef>
              <c:f>'PARAMETROS FISICOS'!$B$97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FISICOS'!$E$97:$N$97</c:f>
              <c:numCache>
                <c:formatCode>0.0</c:formatCode>
                <c:ptCount val="10"/>
                <c:pt idx="0">
                  <c:v>9</c:v>
                </c:pt>
                <c:pt idx="8">
                  <c:v>7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F-47C1-BA8B-65C2EE337E8F}"/>
            </c:ext>
          </c:extLst>
        </c:ser>
        <c:ser>
          <c:idx val="3"/>
          <c:order val="3"/>
          <c:tx>
            <c:strRef>
              <c:f>'PARAMETROS FISICOS'!$B$98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FISICOS'!$E$98:$N$98</c:f>
              <c:numCache>
                <c:formatCode>0.0</c:formatCode>
                <c:ptCount val="10"/>
                <c:pt idx="0">
                  <c:v>14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F-47C1-BA8B-65C2EE337E8F}"/>
            </c:ext>
          </c:extLst>
        </c:ser>
        <c:ser>
          <c:idx val="4"/>
          <c:order val="4"/>
          <c:tx>
            <c:strRef>
              <c:f>'PARAMETROS FISICOS'!$B$99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FISICOS'!$E$99:$N$99</c:f>
              <c:numCache>
                <c:formatCode>0.0</c:formatCode>
                <c:ptCount val="10"/>
                <c:pt idx="0">
                  <c:v>20</c:v>
                </c:pt>
                <c:pt idx="8">
                  <c:v>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CF-47C1-BA8B-65C2EE337E8F}"/>
            </c:ext>
          </c:extLst>
        </c:ser>
        <c:ser>
          <c:idx val="5"/>
          <c:order val="5"/>
          <c:tx>
            <c:strRef>
              <c:f>'PARAMETROS FISICOS'!$B$100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FISICOS'!$E$100:$N$100</c:f>
              <c:numCache>
                <c:formatCode>0.0</c:formatCode>
                <c:ptCount val="10"/>
                <c:pt idx="0">
                  <c:v>14</c:v>
                </c:pt>
                <c:pt idx="8">
                  <c:v>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CF-47C1-BA8B-65C2EE337E8F}"/>
            </c:ext>
          </c:extLst>
        </c:ser>
        <c:ser>
          <c:idx val="6"/>
          <c:order val="6"/>
          <c:tx>
            <c:strRef>
              <c:f>'PARAMETROS FISICOS'!$B$101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CF-47C1-BA8B-65C2EE337E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FISICOS'!$E$101:$N$101</c:f>
              <c:numCache>
                <c:formatCode>0.0</c:formatCode>
                <c:ptCount val="10"/>
                <c:pt idx="0">
                  <c:v>30</c:v>
                </c:pt>
                <c:pt idx="8">
                  <c:v>6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CF-47C1-BA8B-65C2EE337E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34032"/>
        <c:axId val="506434424"/>
        <c:extLst/>
      </c:barChart>
      <c:catAx>
        <c:axId val="50643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34424"/>
        <c:crosses val="autoZero"/>
        <c:auto val="1"/>
        <c:lblAlgn val="ctr"/>
        <c:lblOffset val="100"/>
        <c:noMultiLvlLbl val="0"/>
      </c:catAx>
      <c:valAx>
        <c:axId val="50643442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0643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cobre</a:t>
            </a:r>
            <a:r>
              <a:rPr lang="es-PE" baseline="0"/>
              <a:t> (c</a:t>
            </a:r>
            <a:r>
              <a:rPr lang="es-PE" sz="1200" baseline="0"/>
              <a:t>u</a:t>
            </a:r>
            <a:r>
              <a:rPr lang="es-PE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FISICOS'!$B$106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FISICOS'!$E$106:$N$106</c:f>
              <c:numCache>
                <c:formatCode>0.00</c:formatCode>
                <c:ptCount val="10"/>
                <c:pt idx="0">
                  <c:v>0.84</c:v>
                </c:pt>
                <c:pt idx="1">
                  <c:v>1.53</c:v>
                </c:pt>
                <c:pt idx="2">
                  <c:v>3.71</c:v>
                </c:pt>
                <c:pt idx="3">
                  <c:v>2.9</c:v>
                </c:pt>
                <c:pt idx="4">
                  <c:v>0.06</c:v>
                </c:pt>
                <c:pt idx="5">
                  <c:v>0.39</c:v>
                </c:pt>
                <c:pt idx="6">
                  <c:v>0.26300000000000001</c:v>
                </c:pt>
                <c:pt idx="7">
                  <c:v>0.51</c:v>
                </c:pt>
                <c:pt idx="8">
                  <c:v>1.38</c:v>
                </c:pt>
                <c:pt idx="9">
                  <c:v>2.1800000000000002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5-4980-A91D-DB87A1956DEF}"/>
            </c:ext>
          </c:extLst>
        </c:ser>
        <c:ser>
          <c:idx val="1"/>
          <c:order val="1"/>
          <c:tx>
            <c:strRef>
              <c:f>'PARAMETROS FISICOS'!$B$107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FISICOS'!$E$107:$N$107</c:f>
              <c:numCache>
                <c:formatCode>0.00</c:formatCode>
                <c:ptCount val="10"/>
                <c:pt idx="0">
                  <c:v>1.58</c:v>
                </c:pt>
                <c:pt idx="1">
                  <c:v>2.4700000000000002</c:v>
                </c:pt>
                <c:pt idx="2">
                  <c:v>4.75</c:v>
                </c:pt>
                <c:pt idx="3">
                  <c:v>3.16</c:v>
                </c:pt>
                <c:pt idx="4">
                  <c:v>0.97</c:v>
                </c:pt>
                <c:pt idx="5">
                  <c:v>0.56000000000000005</c:v>
                </c:pt>
                <c:pt idx="6">
                  <c:v>0.36399999999999999</c:v>
                </c:pt>
                <c:pt idx="7">
                  <c:v>0.62</c:v>
                </c:pt>
                <c:pt idx="8">
                  <c:v>1.7</c:v>
                </c:pt>
                <c:pt idx="9">
                  <c:v>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5-4980-A91D-DB87A1956DEF}"/>
            </c:ext>
          </c:extLst>
        </c:ser>
        <c:ser>
          <c:idx val="2"/>
          <c:order val="2"/>
          <c:tx>
            <c:strRef>
              <c:f>'PARAMETROS FISICOS'!$B$108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FISICOS'!$E$108:$N$108</c:f>
              <c:numCache>
                <c:formatCode>0.00</c:formatCode>
                <c:ptCount val="10"/>
                <c:pt idx="0">
                  <c:v>1.08</c:v>
                </c:pt>
                <c:pt idx="1">
                  <c:v>1.24</c:v>
                </c:pt>
                <c:pt idx="2">
                  <c:v>4.07</c:v>
                </c:pt>
                <c:pt idx="3">
                  <c:v>3.62</c:v>
                </c:pt>
                <c:pt idx="4">
                  <c:v>0.16</c:v>
                </c:pt>
                <c:pt idx="5">
                  <c:v>0.76</c:v>
                </c:pt>
                <c:pt idx="6">
                  <c:v>0.33</c:v>
                </c:pt>
                <c:pt idx="7">
                  <c:v>0.39300000000000002</c:v>
                </c:pt>
                <c:pt idx="8">
                  <c:v>1.92</c:v>
                </c:pt>
                <c:pt idx="9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5-4980-A91D-DB87A1956DEF}"/>
            </c:ext>
          </c:extLst>
        </c:ser>
        <c:ser>
          <c:idx val="3"/>
          <c:order val="3"/>
          <c:tx>
            <c:strRef>
              <c:f>'PARAMETROS FISICOS'!$B$109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FISICOS'!$E$109:$N$109</c:f>
              <c:numCache>
                <c:formatCode>0.00</c:formatCode>
                <c:ptCount val="10"/>
                <c:pt idx="0">
                  <c:v>1.1100000000000001</c:v>
                </c:pt>
                <c:pt idx="1">
                  <c:v>1.3</c:v>
                </c:pt>
                <c:pt idx="2">
                  <c:v>9.24</c:v>
                </c:pt>
                <c:pt idx="3">
                  <c:v>4.21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0.6</c:v>
                </c:pt>
                <c:pt idx="8">
                  <c:v>1.69</c:v>
                </c:pt>
                <c:pt idx="9">
                  <c:v>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B5-4980-A91D-DB87A1956DEF}"/>
            </c:ext>
          </c:extLst>
        </c:ser>
        <c:ser>
          <c:idx val="4"/>
          <c:order val="4"/>
          <c:tx>
            <c:strRef>
              <c:f>'PARAMETROS FISICOS'!$B$110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FISICOS'!$E$110:$N$110</c:f>
              <c:numCache>
                <c:formatCode>0.00</c:formatCode>
                <c:ptCount val="10"/>
                <c:pt idx="0">
                  <c:v>0.67</c:v>
                </c:pt>
                <c:pt idx="1">
                  <c:v>1.1100000000000001</c:v>
                </c:pt>
                <c:pt idx="2">
                  <c:v>3.01</c:v>
                </c:pt>
                <c:pt idx="3">
                  <c:v>3.51</c:v>
                </c:pt>
                <c:pt idx="4">
                  <c:v>0.31</c:v>
                </c:pt>
                <c:pt idx="5">
                  <c:v>0.96</c:v>
                </c:pt>
                <c:pt idx="6">
                  <c:v>0.29699999999999999</c:v>
                </c:pt>
                <c:pt idx="7">
                  <c:v>0.21</c:v>
                </c:pt>
                <c:pt idx="8">
                  <c:v>1.1100000000000001</c:v>
                </c:pt>
                <c:pt idx="9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B5-4980-A91D-DB87A1956DEF}"/>
            </c:ext>
          </c:extLst>
        </c:ser>
        <c:ser>
          <c:idx val="5"/>
          <c:order val="5"/>
          <c:tx>
            <c:strRef>
              <c:f>'PARAMETROS FISICOS'!$B$111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FISICOS'!$E$111:$N$111</c:f>
              <c:numCache>
                <c:formatCode>0.00</c:formatCode>
                <c:ptCount val="10"/>
                <c:pt idx="0">
                  <c:v>0.33</c:v>
                </c:pt>
                <c:pt idx="1">
                  <c:v>0.2</c:v>
                </c:pt>
                <c:pt idx="2">
                  <c:v>0.41</c:v>
                </c:pt>
                <c:pt idx="3">
                  <c:v>0.21</c:v>
                </c:pt>
                <c:pt idx="4">
                  <c:v>0.03</c:v>
                </c:pt>
                <c:pt idx="5">
                  <c:v>0.08</c:v>
                </c:pt>
                <c:pt idx="6">
                  <c:v>0.21</c:v>
                </c:pt>
                <c:pt idx="7">
                  <c:v>0.38100000000000001</c:v>
                </c:pt>
                <c:pt idx="8">
                  <c:v>0.11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B5-4980-A91D-DB87A1956DEF}"/>
            </c:ext>
          </c:extLst>
        </c:ser>
        <c:ser>
          <c:idx val="6"/>
          <c:order val="6"/>
          <c:tx>
            <c:strRef>
              <c:f>'PARAMETROS FISICOS'!$B$112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FISICOS'!$E$112:$N$112</c:f>
              <c:numCache>
                <c:formatCode>0.00</c:formatCode>
                <c:ptCount val="10"/>
                <c:pt idx="0">
                  <c:v>0.39</c:v>
                </c:pt>
                <c:pt idx="1">
                  <c:v>0.47</c:v>
                </c:pt>
                <c:pt idx="2">
                  <c:v>0.78</c:v>
                </c:pt>
                <c:pt idx="3">
                  <c:v>0.39</c:v>
                </c:pt>
                <c:pt idx="4">
                  <c:v>0.81</c:v>
                </c:pt>
                <c:pt idx="5">
                  <c:v>0.04</c:v>
                </c:pt>
                <c:pt idx="6">
                  <c:v>0.24</c:v>
                </c:pt>
                <c:pt idx="7">
                  <c:v>0.44</c:v>
                </c:pt>
                <c:pt idx="8">
                  <c:v>0.1</c:v>
                </c:pt>
                <c:pt idx="9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B5-4980-A91D-DB87A1956D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6435208"/>
        <c:axId val="506435600"/>
        <c:extLst/>
      </c:barChart>
      <c:catAx>
        <c:axId val="50643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06435600"/>
        <c:crosses val="autoZero"/>
        <c:auto val="1"/>
        <c:lblAlgn val="ctr"/>
        <c:lblOffset val="100"/>
        <c:noMultiLvlLbl val="0"/>
      </c:catAx>
      <c:valAx>
        <c:axId val="5064356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43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CROMO HEXAVALENTE (Cr</a:t>
            </a:r>
            <a:r>
              <a:rPr lang="es-PE" sz="1000"/>
              <a:t>6+</a:t>
            </a:r>
            <a:r>
              <a:rPr lang="es-PE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FISICOS'!$B$117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FISICOS'!$E$117:$N$117</c:f>
              <c:numCache>
                <c:formatCode>0.00</c:formatCode>
                <c:ptCount val="10"/>
                <c:pt idx="0">
                  <c:v>1.2999999999999999E-2</c:v>
                </c:pt>
                <c:pt idx="1">
                  <c:v>1.2999999999999999E-2</c:v>
                </c:pt>
                <c:pt idx="2">
                  <c:v>0.38</c:v>
                </c:pt>
                <c:pt idx="3">
                  <c:v>2.4E-2</c:v>
                </c:pt>
                <c:pt idx="8">
                  <c:v>2.3E-2</c:v>
                </c:pt>
                <c:pt idx="9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7-4064-8FCC-0F31DB7DF413}"/>
            </c:ext>
          </c:extLst>
        </c:ser>
        <c:ser>
          <c:idx val="1"/>
          <c:order val="1"/>
          <c:tx>
            <c:strRef>
              <c:f>'PARAMETROS FISICOS'!$B$118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FISICOS'!$E$118:$N$118</c:f>
              <c:numCache>
                <c:formatCode>0.00</c:formatCode>
                <c:ptCount val="10"/>
                <c:pt idx="0">
                  <c:v>3.7999999999999999E-2</c:v>
                </c:pt>
                <c:pt idx="1">
                  <c:v>1.2E-2</c:v>
                </c:pt>
                <c:pt idx="2">
                  <c:v>0.155</c:v>
                </c:pt>
                <c:pt idx="3">
                  <c:v>2E-3</c:v>
                </c:pt>
                <c:pt idx="8">
                  <c:v>2.5000000000000001E-2</c:v>
                </c:pt>
                <c:pt idx="9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7-4064-8FCC-0F31DB7DF413}"/>
            </c:ext>
          </c:extLst>
        </c:ser>
        <c:ser>
          <c:idx val="2"/>
          <c:order val="2"/>
          <c:tx>
            <c:strRef>
              <c:f>'PARAMETROS FISICOS'!$B$119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FISICOS'!$E$119:$N$119</c:f>
              <c:numCache>
                <c:formatCode>0.00</c:formatCode>
                <c:ptCount val="10"/>
                <c:pt idx="0">
                  <c:v>2.9000000000000001E-2</c:v>
                </c:pt>
                <c:pt idx="1">
                  <c:v>1.7999999999999999E-2</c:v>
                </c:pt>
                <c:pt idx="2">
                  <c:v>0.29599999999999999</c:v>
                </c:pt>
                <c:pt idx="3">
                  <c:v>8.0000000000000002E-3</c:v>
                </c:pt>
                <c:pt idx="8">
                  <c:v>2.5999999999999999E-2</c:v>
                </c:pt>
                <c:pt idx="9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7-4064-8FCC-0F31DB7DF413}"/>
            </c:ext>
          </c:extLst>
        </c:ser>
        <c:ser>
          <c:idx val="3"/>
          <c:order val="3"/>
          <c:tx>
            <c:strRef>
              <c:f>'PARAMETROS FISICOS'!$B$120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FISICOS'!$E$120:$N$120</c:f>
              <c:numCache>
                <c:formatCode>0.00</c:formatCode>
                <c:ptCount val="10"/>
                <c:pt idx="0">
                  <c:v>0.03</c:v>
                </c:pt>
                <c:pt idx="1">
                  <c:v>1.4E-2</c:v>
                </c:pt>
                <c:pt idx="2">
                  <c:v>0.111</c:v>
                </c:pt>
                <c:pt idx="3" formatCode="0.000">
                  <c:v>1E-3</c:v>
                </c:pt>
                <c:pt idx="8">
                  <c:v>2.1000000000000001E-2</c:v>
                </c:pt>
                <c:pt idx="9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7-4064-8FCC-0F31DB7DF413}"/>
            </c:ext>
          </c:extLst>
        </c:ser>
        <c:ser>
          <c:idx val="4"/>
          <c:order val="4"/>
          <c:tx>
            <c:strRef>
              <c:f>'PARAMETROS FISICOS'!$B$121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FISICOS'!$E$121:$N$121</c:f>
              <c:numCache>
                <c:formatCode>0.00</c:formatCode>
                <c:ptCount val="10"/>
                <c:pt idx="0">
                  <c:v>4.2000000000000003E-2</c:v>
                </c:pt>
                <c:pt idx="1">
                  <c:v>5.0999999999999997E-2</c:v>
                </c:pt>
                <c:pt idx="2">
                  <c:v>7.8E-2</c:v>
                </c:pt>
                <c:pt idx="3">
                  <c:v>1.7000000000000001E-2</c:v>
                </c:pt>
                <c:pt idx="8">
                  <c:v>3.9E-2</c:v>
                </c:pt>
                <c:pt idx="9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7-4064-8FCC-0F31DB7DF413}"/>
            </c:ext>
          </c:extLst>
        </c:ser>
        <c:ser>
          <c:idx val="5"/>
          <c:order val="5"/>
          <c:tx>
            <c:strRef>
              <c:f>'PARAMETROS FISICOS'!$B$122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FISICOS'!$E$122:$N$122</c:f>
              <c:numCache>
                <c:formatCode>0.00</c:formatCode>
                <c:ptCount val="10"/>
                <c:pt idx="0">
                  <c:v>1.4999999999999999E-2</c:v>
                </c:pt>
                <c:pt idx="1">
                  <c:v>0.153</c:v>
                </c:pt>
                <c:pt idx="2">
                  <c:v>0.14599999999999999</c:v>
                </c:pt>
                <c:pt idx="3">
                  <c:v>8.9999999999999993E-3</c:v>
                </c:pt>
                <c:pt idx="8">
                  <c:v>2.5999999999999999E-2</c:v>
                </c:pt>
                <c:pt idx="9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87-4064-8FCC-0F31DB7DF413}"/>
            </c:ext>
          </c:extLst>
        </c:ser>
        <c:ser>
          <c:idx val="6"/>
          <c:order val="6"/>
          <c:tx>
            <c:strRef>
              <c:f>'PARAMETROS FISICOS'!$B$123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FISICOS'!$E$123:$N$123</c:f>
              <c:numCache>
                <c:formatCode>0.00</c:formatCode>
                <c:ptCount val="10"/>
                <c:pt idx="0">
                  <c:v>2.3E-2</c:v>
                </c:pt>
                <c:pt idx="1">
                  <c:v>1.6E-2</c:v>
                </c:pt>
                <c:pt idx="2">
                  <c:v>0.11</c:v>
                </c:pt>
                <c:pt idx="3">
                  <c:v>6.6000000000000003E-2</c:v>
                </c:pt>
                <c:pt idx="8">
                  <c:v>2.1000000000000001E-2</c:v>
                </c:pt>
                <c:pt idx="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87-4064-8FCC-0F31DB7DF4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16656"/>
        <c:axId val="513117048"/>
        <c:extLst/>
      </c:barChart>
      <c:catAx>
        <c:axId val="5131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17048"/>
        <c:crosses val="autoZero"/>
        <c:auto val="1"/>
        <c:lblAlgn val="ctr"/>
        <c:lblOffset val="100"/>
        <c:noMultiLvlLbl val="0"/>
      </c:catAx>
      <c:valAx>
        <c:axId val="513117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1311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manganeso</a:t>
            </a:r>
            <a:r>
              <a:rPr lang="es-PE" baseline="0"/>
              <a:t> (mn)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FISICOS'!$B$128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rgbClr val="99FFC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FISICOS'!$E$128:$N$128</c:f>
              <c:numCache>
                <c:formatCode>0.0</c:formatCode>
                <c:ptCount val="10"/>
                <c:pt idx="0">
                  <c:v>3.2</c:v>
                </c:pt>
                <c:pt idx="1">
                  <c:v>0.1</c:v>
                </c:pt>
                <c:pt idx="2">
                  <c:v>2.9</c:v>
                </c:pt>
                <c:pt idx="3">
                  <c:v>0.6</c:v>
                </c:pt>
                <c:pt idx="8">
                  <c:v>2.9</c:v>
                </c:pt>
                <c:pt idx="9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8-45A8-A715-0B083A940FD1}"/>
            </c:ext>
          </c:extLst>
        </c:ser>
        <c:ser>
          <c:idx val="1"/>
          <c:order val="1"/>
          <c:tx>
            <c:strRef>
              <c:f>'PARAMETROS FISICOS'!$B$129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FISICOS'!$E$129:$N$129</c:f>
              <c:numCache>
                <c:formatCode>0.0</c:formatCode>
                <c:ptCount val="10"/>
                <c:pt idx="0">
                  <c:v>3.3</c:v>
                </c:pt>
                <c:pt idx="1">
                  <c:v>0.2</c:v>
                </c:pt>
                <c:pt idx="2">
                  <c:v>2</c:v>
                </c:pt>
                <c:pt idx="3">
                  <c:v>0.5</c:v>
                </c:pt>
                <c:pt idx="8">
                  <c:v>1.1000000000000001</c:v>
                </c:pt>
                <c:pt idx="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8-45A8-A715-0B083A940FD1}"/>
            </c:ext>
          </c:extLst>
        </c:ser>
        <c:ser>
          <c:idx val="2"/>
          <c:order val="2"/>
          <c:tx>
            <c:strRef>
              <c:f>'PARAMETROS FISICOS'!$B$130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FISICOS'!$E$130:$N$130</c:f>
              <c:numCache>
                <c:formatCode>0.0</c:formatCode>
                <c:ptCount val="10"/>
                <c:pt idx="0">
                  <c:v>2.5</c:v>
                </c:pt>
                <c:pt idx="1">
                  <c:v>0.3</c:v>
                </c:pt>
                <c:pt idx="2">
                  <c:v>2.2999999999999998</c:v>
                </c:pt>
                <c:pt idx="3">
                  <c:v>0.5</c:v>
                </c:pt>
                <c:pt idx="8">
                  <c:v>0.2</c:v>
                </c:pt>
                <c:pt idx="9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8-45A8-A715-0B083A940FD1}"/>
            </c:ext>
          </c:extLst>
        </c:ser>
        <c:ser>
          <c:idx val="3"/>
          <c:order val="3"/>
          <c:tx>
            <c:strRef>
              <c:f>'PARAMETROS FISICOS'!$B$131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FISICOS'!$E$131:$N$131</c:f>
              <c:numCache>
                <c:formatCode>0.0</c:formatCode>
                <c:ptCount val="10"/>
                <c:pt idx="0">
                  <c:v>1.5</c:v>
                </c:pt>
                <c:pt idx="1">
                  <c:v>0.4</c:v>
                </c:pt>
                <c:pt idx="2">
                  <c:v>2.5</c:v>
                </c:pt>
                <c:pt idx="3">
                  <c:v>0.1</c:v>
                </c:pt>
                <c:pt idx="8">
                  <c:v>0.4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8-45A8-A715-0B083A940FD1}"/>
            </c:ext>
          </c:extLst>
        </c:ser>
        <c:ser>
          <c:idx val="4"/>
          <c:order val="4"/>
          <c:tx>
            <c:strRef>
              <c:f>'PARAMETROS FISICOS'!$B$132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FISICOS'!$E$132:$N$132</c:f>
              <c:numCache>
                <c:formatCode>0.0</c:formatCode>
                <c:ptCount val="10"/>
                <c:pt idx="0">
                  <c:v>2</c:v>
                </c:pt>
                <c:pt idx="1">
                  <c:v>0.2</c:v>
                </c:pt>
                <c:pt idx="2">
                  <c:v>2.8</c:v>
                </c:pt>
                <c:pt idx="3">
                  <c:v>0.1</c:v>
                </c:pt>
                <c:pt idx="8">
                  <c:v>1.2</c:v>
                </c:pt>
                <c:pt idx="9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28-45A8-A715-0B083A940FD1}"/>
            </c:ext>
          </c:extLst>
        </c:ser>
        <c:ser>
          <c:idx val="5"/>
          <c:order val="5"/>
          <c:tx>
            <c:strRef>
              <c:f>'PARAMETROS FISICOS'!$B$133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FISICOS'!$E$133:$N$133</c:f>
              <c:numCache>
                <c:formatCode>0.0</c:formatCode>
                <c:ptCount val="10"/>
                <c:pt idx="0">
                  <c:v>2.2000000000000002</c:v>
                </c:pt>
                <c:pt idx="1">
                  <c:v>0.8</c:v>
                </c:pt>
                <c:pt idx="2">
                  <c:v>2.2000000000000002</c:v>
                </c:pt>
                <c:pt idx="3">
                  <c:v>0.3</c:v>
                </c:pt>
                <c:pt idx="8">
                  <c:v>0.4</c:v>
                </c:pt>
                <c:pt idx="9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28-45A8-A715-0B083A940FD1}"/>
            </c:ext>
          </c:extLst>
        </c:ser>
        <c:ser>
          <c:idx val="6"/>
          <c:order val="6"/>
          <c:tx>
            <c:strRef>
              <c:f>'PARAMETROS FISICOS'!$B$134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FISICOS'!$E$134:$N$134</c:f>
              <c:numCache>
                <c:formatCode>0.0</c:formatCode>
                <c:ptCount val="10"/>
                <c:pt idx="0">
                  <c:v>2</c:v>
                </c:pt>
                <c:pt idx="1">
                  <c:v>0.8</c:v>
                </c:pt>
                <c:pt idx="2">
                  <c:v>2.7</c:v>
                </c:pt>
                <c:pt idx="3">
                  <c:v>1.2</c:v>
                </c:pt>
                <c:pt idx="8">
                  <c:v>0.8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28-45A8-A715-0B083A940F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17832"/>
        <c:axId val="513118224"/>
        <c:extLst/>
      </c:barChart>
      <c:catAx>
        <c:axId val="51311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18224"/>
        <c:crosses val="autoZero"/>
        <c:auto val="1"/>
        <c:lblAlgn val="ctr"/>
        <c:lblOffset val="100"/>
        <c:noMultiLvlLbl val="0"/>
      </c:catAx>
      <c:valAx>
        <c:axId val="51311822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1311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 u="none">
                <a:solidFill>
                  <a:schemeClr val="bg1"/>
                </a:solidFill>
              </a:rPr>
              <a:t>TURBIDEZ  (NTU)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'PARAMETROS FISICOS'!$B$6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1693059674209623E-18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AA-4D50-9466-0DE518604054}"/>
                </c:ext>
              </c:extLst>
            </c:dLbl>
            <c:dLbl>
              <c:idx val="1"/>
              <c:layout>
                <c:manualLayout>
                  <c:x val="0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AA-4D50-9466-0DE518604054}"/>
                </c:ext>
              </c:extLst>
            </c:dLbl>
            <c:dLbl>
              <c:idx val="2"/>
              <c:layout>
                <c:manualLayout>
                  <c:x val="-1.3460459423498062E-3"/>
                  <c:y val="1.3491269714383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AA-4D50-9466-0DE518604054}"/>
                </c:ext>
              </c:extLst>
            </c:dLbl>
            <c:dLbl>
              <c:idx val="3"/>
              <c:layout>
                <c:manualLayout>
                  <c:x val="-1.3460459423498556E-3"/>
                  <c:y val="2.02369045715750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AA-4D50-9466-0DE518604054}"/>
                </c:ext>
              </c:extLst>
            </c:dLbl>
            <c:dLbl>
              <c:idx val="4"/>
              <c:layout>
                <c:manualLayout>
                  <c:x val="-9.8708895478735396E-17"/>
                  <c:y val="2.02369045715750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AA-4D50-9466-0DE518604054}"/>
                </c:ext>
              </c:extLst>
            </c:dLbl>
            <c:dLbl>
              <c:idx val="5"/>
              <c:layout>
                <c:manualLayout>
                  <c:x val="0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AA-4D50-9466-0DE518604054}"/>
                </c:ext>
              </c:extLst>
            </c:dLbl>
            <c:dLbl>
              <c:idx val="6"/>
              <c:layout>
                <c:manualLayout>
                  <c:x val="-9.8708895478735396E-17"/>
                  <c:y val="1.6864087142979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AA-4D50-9466-0DE518604054}"/>
                </c:ext>
              </c:extLst>
            </c:dLbl>
            <c:dLbl>
              <c:idx val="7"/>
              <c:layout>
                <c:manualLayout>
                  <c:x val="-9.8708895478735396E-17"/>
                  <c:y val="6.7456348571917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AA-4D50-9466-0DE518604054}"/>
                </c:ext>
              </c:extLst>
            </c:dLbl>
            <c:dLbl>
              <c:idx val="9"/>
              <c:layout>
                <c:manualLayout>
                  <c:x val="-5.3841837693992247E-3"/>
                  <c:y val="1.3491269714383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FISICOS'!$E$6:$N$6</c:f>
              <c:numCache>
                <c:formatCode>0</c:formatCode>
                <c:ptCount val="10"/>
                <c:pt idx="0">
                  <c:v>61.9</c:v>
                </c:pt>
                <c:pt idx="1">
                  <c:v>8.4499999999999993</c:v>
                </c:pt>
                <c:pt idx="2">
                  <c:v>13.1</c:v>
                </c:pt>
                <c:pt idx="3">
                  <c:v>17.3</c:v>
                </c:pt>
                <c:pt idx="4">
                  <c:v>16.600000000000001</c:v>
                </c:pt>
                <c:pt idx="5">
                  <c:v>11.5</c:v>
                </c:pt>
                <c:pt idx="6">
                  <c:v>17.100000000000001</c:v>
                </c:pt>
                <c:pt idx="7">
                  <c:v>18.04</c:v>
                </c:pt>
                <c:pt idx="8">
                  <c:v>11.3</c:v>
                </c:pt>
                <c:pt idx="9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AA-4D50-9466-0DE518604054}"/>
            </c:ext>
          </c:extLst>
        </c:ser>
        <c:ser>
          <c:idx val="2"/>
          <c:order val="2"/>
          <c:tx>
            <c:strRef>
              <c:f>'PARAMETROS FISICOS'!$B$7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rgbClr val="00FF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6.6740561409265589E-4"/>
                  <c:y val="1.3930267132451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AA-4D50-9466-0DE518604054}"/>
                </c:ext>
              </c:extLst>
            </c:dLbl>
            <c:dLbl>
              <c:idx val="1"/>
              <c:layout>
                <c:manualLayout>
                  <c:x val="0"/>
                  <c:y val="9.28689786898600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AA-4D50-9466-0DE518604054}"/>
                </c:ext>
              </c:extLst>
            </c:dLbl>
            <c:dLbl>
              <c:idx val="3"/>
              <c:layout>
                <c:manualLayout>
                  <c:x val="0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AA-4D50-9466-0DE518604054}"/>
                </c:ext>
              </c:extLst>
            </c:dLbl>
            <c:dLbl>
              <c:idx val="4"/>
              <c:layout>
                <c:manualLayout>
                  <c:x val="-9.8708895478735396E-17"/>
                  <c:y val="1.6864087142979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AA-4D50-9466-0DE518604054}"/>
                </c:ext>
              </c:extLst>
            </c:dLbl>
            <c:dLbl>
              <c:idx val="5"/>
              <c:layout>
                <c:manualLayout>
                  <c:x val="0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AA-4D50-9466-0DE518604054}"/>
                </c:ext>
              </c:extLst>
            </c:dLbl>
            <c:dLbl>
              <c:idx val="6"/>
              <c:layout>
                <c:manualLayout>
                  <c:x val="0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AA-4D50-9466-0DE518604054}"/>
                </c:ext>
              </c:extLst>
            </c:dLbl>
            <c:dLbl>
              <c:idx val="7"/>
              <c:layout>
                <c:manualLayout>
                  <c:x val="0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AA-4D50-9466-0DE518604054}"/>
                </c:ext>
              </c:extLst>
            </c:dLbl>
            <c:dLbl>
              <c:idx val="9"/>
              <c:layout>
                <c:manualLayout>
                  <c:x val="0"/>
                  <c:y val="3.3728174285958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FISICOS'!$E$7:$N$7</c:f>
              <c:numCache>
                <c:formatCode>0</c:formatCode>
                <c:ptCount val="10"/>
                <c:pt idx="0">
                  <c:v>19.8</c:v>
                </c:pt>
                <c:pt idx="1">
                  <c:v>9.59</c:v>
                </c:pt>
                <c:pt idx="2">
                  <c:v>15</c:v>
                </c:pt>
                <c:pt idx="3">
                  <c:v>18.399999999999999</c:v>
                </c:pt>
                <c:pt idx="4">
                  <c:v>24.1</c:v>
                </c:pt>
                <c:pt idx="5">
                  <c:v>17.600000000000001</c:v>
                </c:pt>
                <c:pt idx="6">
                  <c:v>12.4</c:v>
                </c:pt>
                <c:pt idx="7">
                  <c:v>10.08</c:v>
                </c:pt>
                <c:pt idx="8">
                  <c:v>13.3</c:v>
                </c:pt>
                <c:pt idx="9">
                  <c:v>20.100000000000001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AAA-4D50-9466-0DE518604054}"/>
            </c:ext>
          </c:extLst>
        </c:ser>
        <c:ser>
          <c:idx val="3"/>
          <c:order val="3"/>
          <c:tx>
            <c:strRef>
              <c:f>'PARAMETROS FISICOS'!$B$8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FISICOS'!$E$8:$N$8</c:f>
              <c:numCache>
                <c:formatCode>0</c:formatCode>
                <c:ptCount val="10"/>
                <c:pt idx="0">
                  <c:v>31.6</c:v>
                </c:pt>
                <c:pt idx="1">
                  <c:v>10.199999999999999</c:v>
                </c:pt>
                <c:pt idx="2">
                  <c:v>11.5</c:v>
                </c:pt>
                <c:pt idx="3">
                  <c:v>12.2</c:v>
                </c:pt>
                <c:pt idx="4">
                  <c:v>20.5</c:v>
                </c:pt>
                <c:pt idx="5">
                  <c:v>21.8</c:v>
                </c:pt>
                <c:pt idx="6">
                  <c:v>14</c:v>
                </c:pt>
                <c:pt idx="7">
                  <c:v>25.6</c:v>
                </c:pt>
                <c:pt idx="8">
                  <c:v>20.9</c:v>
                </c:pt>
                <c:pt idx="9">
                  <c:v>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AAA-4D50-9466-0DE518604054}"/>
            </c:ext>
          </c:extLst>
        </c:ser>
        <c:ser>
          <c:idx val="4"/>
          <c:order val="4"/>
          <c:tx>
            <c:strRef>
              <c:f>'PARAMETROS FISICOS'!$B$9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460459423498185E-3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AA-4D50-9466-0DE518604054}"/>
                </c:ext>
              </c:extLst>
            </c:dLbl>
            <c:dLbl>
              <c:idx val="1"/>
              <c:layout>
                <c:manualLayout>
                  <c:x val="-1.3460459423498309E-3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AA-4D50-9466-0DE518604054}"/>
                </c:ext>
              </c:extLst>
            </c:dLbl>
            <c:dLbl>
              <c:idx val="2"/>
              <c:layout>
                <c:manualLayout>
                  <c:x val="-1.3460459423498556E-3"/>
                  <c:y val="6.7456348571917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AAA-4D50-9466-0DE518604054}"/>
                </c:ext>
              </c:extLst>
            </c:dLbl>
            <c:dLbl>
              <c:idx val="3"/>
              <c:layout>
                <c:manualLayout>
                  <c:x val="0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AAA-4D50-9466-0DE518604054}"/>
                </c:ext>
              </c:extLst>
            </c:dLbl>
            <c:dLbl>
              <c:idx val="4"/>
              <c:layout>
                <c:manualLayout>
                  <c:x val="-9.8708895478735396E-17"/>
                  <c:y val="6.7456348571915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AAA-4D50-9466-0DE518604054}"/>
                </c:ext>
              </c:extLst>
            </c:dLbl>
            <c:dLbl>
              <c:idx val="5"/>
              <c:layout>
                <c:manualLayout>
                  <c:x val="0"/>
                  <c:y val="6.7456348571915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AAA-4D50-9466-0DE518604054}"/>
                </c:ext>
              </c:extLst>
            </c:dLbl>
            <c:dLbl>
              <c:idx val="6"/>
              <c:layout>
                <c:manualLayout>
                  <c:x val="-9.8708895478735396E-17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AAA-4D50-9466-0DE518604054}"/>
                </c:ext>
              </c:extLst>
            </c:dLbl>
            <c:dLbl>
              <c:idx val="7"/>
              <c:layout>
                <c:manualLayout>
                  <c:x val="-1.3460459423497075E-3"/>
                  <c:y val="1.6864087142979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AAA-4D50-9466-0DE518604054}"/>
                </c:ext>
              </c:extLst>
            </c:dLbl>
            <c:dLbl>
              <c:idx val="9"/>
              <c:layout>
                <c:manualLayout>
                  <c:x val="-1.3460459423498062E-3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FISICOS'!$E$9:$N$9</c:f>
              <c:numCache>
                <c:formatCode>0</c:formatCode>
                <c:ptCount val="10"/>
                <c:pt idx="0">
                  <c:v>33.1</c:v>
                </c:pt>
                <c:pt idx="1">
                  <c:v>15.1</c:v>
                </c:pt>
                <c:pt idx="2">
                  <c:v>19.100000000000001</c:v>
                </c:pt>
                <c:pt idx="3">
                  <c:v>17.8</c:v>
                </c:pt>
                <c:pt idx="4">
                  <c:v>32.5</c:v>
                </c:pt>
                <c:pt idx="5">
                  <c:v>35.6</c:v>
                </c:pt>
                <c:pt idx="6">
                  <c:v>26.8</c:v>
                </c:pt>
                <c:pt idx="7">
                  <c:v>23.8</c:v>
                </c:pt>
                <c:pt idx="8">
                  <c:v>18.8</c:v>
                </c:pt>
                <c:pt idx="9">
                  <c:v>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AAA-4D50-9466-0DE518604054}"/>
            </c:ext>
          </c:extLst>
        </c:ser>
        <c:ser>
          <c:idx val="5"/>
          <c:order val="5"/>
          <c:tx>
            <c:strRef>
              <c:f>'PARAMETROS FISICOS'!$B$10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460459423498185E-3"/>
                  <c:y val="1.3491269714383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AAA-4D50-9466-0DE518604054}"/>
                </c:ext>
              </c:extLst>
            </c:dLbl>
            <c:dLbl>
              <c:idx val="1"/>
              <c:layout>
                <c:manualLayout>
                  <c:x val="-2.4677223869683849E-17"/>
                  <c:y val="6.7456348571915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AAA-4D50-9466-0DE518604054}"/>
                </c:ext>
              </c:extLst>
            </c:dLbl>
            <c:dLbl>
              <c:idx val="2"/>
              <c:layout>
                <c:manualLayout>
                  <c:x val="-4.9354447739367698E-17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AAA-4D50-9466-0DE518604054}"/>
                </c:ext>
              </c:extLst>
            </c:dLbl>
            <c:dLbl>
              <c:idx val="3"/>
              <c:layout>
                <c:manualLayout>
                  <c:x val="0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AAA-4D50-9466-0DE518604054}"/>
                </c:ext>
              </c:extLst>
            </c:dLbl>
            <c:dLbl>
              <c:idx val="4"/>
              <c:layout>
                <c:manualLayout>
                  <c:x val="0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AAA-4D50-9466-0DE518604054}"/>
                </c:ext>
              </c:extLst>
            </c:dLbl>
            <c:dLbl>
              <c:idx val="5"/>
              <c:layout>
                <c:manualLayout>
                  <c:x val="0"/>
                  <c:y val="6.7456348571917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AAA-4D50-9466-0DE518604054}"/>
                </c:ext>
              </c:extLst>
            </c:dLbl>
            <c:dLbl>
              <c:idx val="6"/>
              <c:layout>
                <c:manualLayout>
                  <c:x val="-9.8708895478735396E-17"/>
                  <c:y val="6.7456348571917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FISICOS'!$E$10:$N$10</c:f>
              <c:numCache>
                <c:formatCode>0</c:formatCode>
                <c:ptCount val="10"/>
                <c:pt idx="0">
                  <c:v>57.2</c:v>
                </c:pt>
                <c:pt idx="1">
                  <c:v>25.6</c:v>
                </c:pt>
                <c:pt idx="2">
                  <c:v>29.1</c:v>
                </c:pt>
                <c:pt idx="3">
                  <c:v>28.6</c:v>
                </c:pt>
                <c:pt idx="4">
                  <c:v>58.6</c:v>
                </c:pt>
                <c:pt idx="5">
                  <c:v>57.6</c:v>
                </c:pt>
                <c:pt idx="6">
                  <c:v>37</c:v>
                </c:pt>
                <c:pt idx="7">
                  <c:v>27.9</c:v>
                </c:pt>
                <c:pt idx="8">
                  <c:v>29.7</c:v>
                </c:pt>
                <c:pt idx="9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AAA-4D50-9466-0DE518604054}"/>
            </c:ext>
          </c:extLst>
        </c:ser>
        <c:ser>
          <c:idx val="6"/>
          <c:order val="6"/>
          <c:tx>
            <c:strRef>
              <c:f>'PARAMETROS FISICOS'!$B$11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0381378270494305E-3"/>
                  <c:y val="1.0118452285787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AAA-4D50-9466-0DE518604054}"/>
                </c:ext>
              </c:extLst>
            </c:dLbl>
            <c:dLbl>
              <c:idx val="1"/>
              <c:layout>
                <c:manualLayout>
                  <c:x val="-1.3460459423498309E-3"/>
                  <c:y val="1.0118452285787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AAA-4D50-9466-0DE518604054}"/>
                </c:ext>
              </c:extLst>
            </c:dLbl>
            <c:dLbl>
              <c:idx val="2"/>
              <c:layout>
                <c:manualLayout>
                  <c:x val="-4.0381378270494678E-3"/>
                  <c:y val="3.3728174285958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AAA-4D50-9466-0DE518604054}"/>
                </c:ext>
              </c:extLst>
            </c:dLbl>
            <c:dLbl>
              <c:idx val="3"/>
              <c:layout>
                <c:manualLayout>
                  <c:x val="-2.6920918846995629E-3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AAA-4D50-9466-0DE518604054}"/>
                </c:ext>
              </c:extLst>
            </c:dLbl>
            <c:dLbl>
              <c:idx val="4"/>
              <c:layout>
                <c:manualLayout>
                  <c:x val="-2.6920918846997112E-3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AAA-4D50-9466-0DE518604054}"/>
                </c:ext>
              </c:extLst>
            </c:dLbl>
            <c:dLbl>
              <c:idx val="5"/>
              <c:layout>
                <c:manualLayout>
                  <c:x val="-4.0381378270494183E-3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AAA-4D50-9466-0DE518604054}"/>
                </c:ext>
              </c:extLst>
            </c:dLbl>
            <c:dLbl>
              <c:idx val="6"/>
              <c:layout>
                <c:manualLayout>
                  <c:x val="-4.0381378270495172E-3"/>
                  <c:y val="1.3491269714383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AAA-4D50-9466-0DE518604054}"/>
                </c:ext>
              </c:extLst>
            </c:dLbl>
            <c:dLbl>
              <c:idx val="7"/>
              <c:layout>
                <c:manualLayout>
                  <c:x val="-2.6920918846996124E-3"/>
                  <c:y val="6.74563485719172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AAA-4D50-9466-0DE518604054}"/>
                </c:ext>
              </c:extLst>
            </c:dLbl>
            <c:dLbl>
              <c:idx val="9"/>
              <c:layout>
                <c:manualLayout>
                  <c:x val="-4.0381378270496161E-3"/>
                  <c:y val="1.686408714297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FISICOS'!$E$11:$N$11</c:f>
              <c:numCache>
                <c:formatCode>0</c:formatCode>
                <c:ptCount val="10"/>
                <c:pt idx="0">
                  <c:v>405</c:v>
                </c:pt>
                <c:pt idx="1">
                  <c:v>190</c:v>
                </c:pt>
                <c:pt idx="2">
                  <c:v>129</c:v>
                </c:pt>
                <c:pt idx="3">
                  <c:v>132</c:v>
                </c:pt>
                <c:pt idx="4">
                  <c:v>88.5</c:v>
                </c:pt>
                <c:pt idx="5">
                  <c:v>348</c:v>
                </c:pt>
                <c:pt idx="6">
                  <c:v>121</c:v>
                </c:pt>
                <c:pt idx="7">
                  <c:v>101</c:v>
                </c:pt>
                <c:pt idx="8">
                  <c:v>153</c:v>
                </c:pt>
                <c:pt idx="9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AAA-4D50-9466-0DE518604054}"/>
            </c:ext>
          </c:extLst>
        </c:ser>
        <c:ser>
          <c:idx val="7"/>
          <c:order val="7"/>
          <c:tx>
            <c:strRef>
              <c:f>'PARAMETROS FISICOS'!$B$12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2603582589869415E-17"/>
                  <c:y val="9.28689786898598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AAA-4D50-9466-0DE518604054}"/>
                </c:ext>
              </c:extLst>
            </c:dLbl>
            <c:dLbl>
              <c:idx val="2"/>
              <c:layout>
                <c:manualLayout>
                  <c:x val="5.2004331919900636E-3"/>
                  <c:y val="6.4727409688061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0AAA-4D50-9466-0DE518604054}"/>
                </c:ext>
              </c:extLst>
            </c:dLbl>
            <c:dLbl>
              <c:idx val="5"/>
              <c:layout>
                <c:manualLayout>
                  <c:x val="0"/>
                  <c:y val="9.28689786898600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AAA-4D50-9466-0DE51860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FISICOS'!$E$12:$N$12</c:f>
              <c:numCache>
                <c:formatCode>0</c:formatCode>
                <c:ptCount val="10"/>
                <c:pt idx="0">
                  <c:v>433</c:v>
                </c:pt>
                <c:pt idx="1">
                  <c:v>232</c:v>
                </c:pt>
                <c:pt idx="2">
                  <c:v>104</c:v>
                </c:pt>
                <c:pt idx="3">
                  <c:v>112</c:v>
                </c:pt>
                <c:pt idx="4">
                  <c:v>91</c:v>
                </c:pt>
                <c:pt idx="5">
                  <c:v>559</c:v>
                </c:pt>
                <c:pt idx="6">
                  <c:v>153</c:v>
                </c:pt>
                <c:pt idx="7">
                  <c:v>156</c:v>
                </c:pt>
                <c:pt idx="8">
                  <c:v>205</c:v>
                </c:pt>
                <c:pt idx="9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0AAA-4D50-9466-0DE518604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119008"/>
        <c:axId val="513119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'PARAMETROS FISICOS'!$B$5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'PARAMETROS FISICOS'!$E$4:$N$4</c15:sqref>
                        </c15:formulaRef>
                      </c:ext>
                    </c:extLst>
                    <c:strCache>
                      <c:ptCount val="10"/>
                      <c:pt idx="0">
                        <c:v>MARZO</c:v>
                      </c:pt>
                      <c:pt idx="1">
                        <c:v>ABRIL</c:v>
                      </c:pt>
                      <c:pt idx="2">
                        <c:v>MAYO</c:v>
                      </c:pt>
                      <c:pt idx="3">
                        <c:v>JUNIO</c:v>
                      </c:pt>
                      <c:pt idx="4">
                        <c:v>JULIO</c:v>
                      </c:pt>
                      <c:pt idx="5">
                        <c:v>AGOSTO</c:v>
                      </c:pt>
                      <c:pt idx="6">
                        <c:v>SEPTIEMBRE</c:v>
                      </c:pt>
                      <c:pt idx="7">
                        <c:v>OCTUBRE</c:v>
                      </c:pt>
                      <c:pt idx="8">
                        <c:v>NOVIEMBRE</c:v>
                      </c:pt>
                      <c:pt idx="9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'PARAMETROS FISICOS'!$E$5:$N$5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4-0AAA-4D50-9466-0DE518604054}"/>
                  </c:ext>
                </c:extLst>
              </c15:ser>
            </c15:filteredBarSeries>
          </c:ext>
        </c:extLst>
      </c:barChart>
      <c:catAx>
        <c:axId val="51311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19400"/>
        <c:crosses val="autoZero"/>
        <c:auto val="1"/>
        <c:lblAlgn val="ctr"/>
        <c:lblOffset val="100"/>
        <c:noMultiLvlLbl val="0"/>
      </c:catAx>
      <c:valAx>
        <c:axId val="51311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190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HIERRO (FE</a:t>
            </a:r>
            <a:r>
              <a:rPr lang="es-PE" baseline="0"/>
              <a:t>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FISICOS'!$B$139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rgbClr val="00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FISICOS'!$E$139:$N$139</c:f>
              <c:numCache>
                <c:formatCode>0.000</c:formatCode>
                <c:ptCount val="10"/>
                <c:pt idx="0">
                  <c:v>0.52200000000000002</c:v>
                </c:pt>
                <c:pt idx="1">
                  <c:v>0.10199999999999999</c:v>
                </c:pt>
                <c:pt idx="2">
                  <c:v>3.7999999999999999E-2</c:v>
                </c:pt>
                <c:pt idx="3">
                  <c:v>9.5000000000000001E-2</c:v>
                </c:pt>
                <c:pt idx="8">
                  <c:v>0.161</c:v>
                </c:pt>
                <c:pt idx="9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C-443E-8B95-253DD3B2F936}"/>
            </c:ext>
          </c:extLst>
        </c:ser>
        <c:ser>
          <c:idx val="1"/>
          <c:order val="1"/>
          <c:tx>
            <c:strRef>
              <c:f>'PARAMETROS FISICOS'!$B$140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FISICOS'!$E$140:$N$140</c:f>
              <c:numCache>
                <c:formatCode>0.000</c:formatCode>
                <c:ptCount val="10"/>
                <c:pt idx="0">
                  <c:v>0.72799999999999998</c:v>
                </c:pt>
                <c:pt idx="1">
                  <c:v>0.09</c:v>
                </c:pt>
                <c:pt idx="2">
                  <c:v>4.5999999999999999E-2</c:v>
                </c:pt>
                <c:pt idx="3">
                  <c:v>0.06</c:v>
                </c:pt>
                <c:pt idx="8">
                  <c:v>0.23699999999999999</c:v>
                </c:pt>
                <c:pt idx="9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C-443E-8B95-253DD3B2F936}"/>
            </c:ext>
          </c:extLst>
        </c:ser>
        <c:ser>
          <c:idx val="2"/>
          <c:order val="2"/>
          <c:tx>
            <c:strRef>
              <c:f>'PARAMETROS FISICOS'!$B$141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FISICOS'!$E$141:$N$141</c:f>
              <c:numCache>
                <c:formatCode>0.000</c:formatCode>
                <c:ptCount val="10"/>
                <c:pt idx="0">
                  <c:v>0.44900000000000001</c:v>
                </c:pt>
                <c:pt idx="1">
                  <c:v>0.11</c:v>
                </c:pt>
                <c:pt idx="2">
                  <c:v>4.3999999999999997E-2</c:v>
                </c:pt>
                <c:pt idx="3">
                  <c:v>0.251</c:v>
                </c:pt>
                <c:pt idx="8">
                  <c:v>0.628</c:v>
                </c:pt>
                <c:pt idx="9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C-443E-8B95-253DD3B2F936}"/>
            </c:ext>
          </c:extLst>
        </c:ser>
        <c:ser>
          <c:idx val="3"/>
          <c:order val="3"/>
          <c:tx>
            <c:strRef>
              <c:f>'PARAMETROS FISICOS'!$B$142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FISICOS'!$E$142:$N$142</c:f>
              <c:numCache>
                <c:formatCode>0.000</c:formatCode>
                <c:ptCount val="10"/>
                <c:pt idx="0">
                  <c:v>0.45300000000000001</c:v>
                </c:pt>
                <c:pt idx="1">
                  <c:v>0.108</c:v>
                </c:pt>
                <c:pt idx="2">
                  <c:v>4.2999999999999997E-2</c:v>
                </c:pt>
                <c:pt idx="3">
                  <c:v>0.04</c:v>
                </c:pt>
                <c:pt idx="8">
                  <c:v>0.13800000000000001</c:v>
                </c:pt>
                <c:pt idx="9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7C-443E-8B95-253DD3B2F936}"/>
            </c:ext>
          </c:extLst>
        </c:ser>
        <c:ser>
          <c:idx val="4"/>
          <c:order val="4"/>
          <c:tx>
            <c:strRef>
              <c:f>'PARAMETROS FISICOS'!$B$143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rgbClr val="F6D7F9"/>
            </a:solidFill>
            <a:ln>
              <a:solidFill>
                <a:srgbClr val="F6D7F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FISICOS'!$E$143:$N$143</c:f>
              <c:numCache>
                <c:formatCode>0.000</c:formatCode>
                <c:ptCount val="10"/>
                <c:pt idx="0">
                  <c:v>1.0189999999999999</c:v>
                </c:pt>
                <c:pt idx="1">
                  <c:v>0.17399999999999999</c:v>
                </c:pt>
                <c:pt idx="2">
                  <c:v>5.0999999999999997E-2</c:v>
                </c:pt>
                <c:pt idx="3">
                  <c:v>3.6999999999999998E-2</c:v>
                </c:pt>
                <c:pt idx="8">
                  <c:v>0.10100000000000001</c:v>
                </c:pt>
                <c:pt idx="9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7C-443E-8B95-253DD3B2F936}"/>
            </c:ext>
          </c:extLst>
        </c:ser>
        <c:ser>
          <c:idx val="5"/>
          <c:order val="5"/>
          <c:tx>
            <c:strRef>
              <c:f>'PARAMETROS FISICOS'!$B$144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FISICOS'!$E$144:$N$144</c:f>
              <c:numCache>
                <c:formatCode>0.000</c:formatCode>
                <c:ptCount val="10"/>
                <c:pt idx="0">
                  <c:v>1.4</c:v>
                </c:pt>
                <c:pt idx="1">
                  <c:v>1.5760000000000001</c:v>
                </c:pt>
                <c:pt idx="2">
                  <c:v>0.40600000000000003</c:v>
                </c:pt>
                <c:pt idx="3">
                  <c:v>0.38700000000000001</c:v>
                </c:pt>
                <c:pt idx="8">
                  <c:v>0.26</c:v>
                </c:pt>
                <c:pt idx="9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7C-443E-8B95-253DD3B2F936}"/>
            </c:ext>
          </c:extLst>
        </c:ser>
        <c:ser>
          <c:idx val="6"/>
          <c:order val="6"/>
          <c:tx>
            <c:strRef>
              <c:f>'PARAMETROS FISICOS'!$B$145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FISICOS'!$E$145:$N$145</c:f>
              <c:numCache>
                <c:formatCode>0.000</c:formatCode>
                <c:ptCount val="10"/>
                <c:pt idx="0">
                  <c:v>1.4</c:v>
                </c:pt>
                <c:pt idx="1">
                  <c:v>1.857</c:v>
                </c:pt>
                <c:pt idx="2">
                  <c:v>0.59</c:v>
                </c:pt>
                <c:pt idx="3">
                  <c:v>0.34300000000000003</c:v>
                </c:pt>
                <c:pt idx="8">
                  <c:v>0.48</c:v>
                </c:pt>
                <c:pt idx="9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C-443E-8B95-253DD3B2F9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20576"/>
        <c:axId val="513120968"/>
        <c:extLst/>
      </c:barChart>
      <c:catAx>
        <c:axId val="5131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20968"/>
        <c:crosses val="autoZero"/>
        <c:auto val="1"/>
        <c:lblAlgn val="ctr"/>
        <c:lblOffset val="100"/>
        <c:noMultiLvlLbl val="0"/>
      </c:catAx>
      <c:valAx>
        <c:axId val="513120968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5131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zinc</a:t>
            </a:r>
            <a:r>
              <a:rPr lang="es-PE" baseline="0"/>
              <a:t> (ZN)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FISICOS'!$B$150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FISICOS'!$E$150:$N$150</c:f>
              <c:numCache>
                <c:formatCode>0.0</c:formatCode>
                <c:ptCount val="10"/>
                <c:pt idx="0" formatCode="0.000">
                  <c:v>0.13</c:v>
                </c:pt>
                <c:pt idx="8" formatCode="0.000">
                  <c:v>0.12</c:v>
                </c:pt>
                <c:pt idx="9" formatCode="0.00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2-401D-A3A8-39FA876CDF6D}"/>
            </c:ext>
          </c:extLst>
        </c:ser>
        <c:ser>
          <c:idx val="1"/>
          <c:order val="1"/>
          <c:tx>
            <c:strRef>
              <c:f>'PARAMETROS FISICOS'!$B$151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FISICOS'!$E$151:$N$151</c:f>
              <c:numCache>
                <c:formatCode>0.0</c:formatCode>
                <c:ptCount val="10"/>
                <c:pt idx="0" formatCode="0.000">
                  <c:v>0.37</c:v>
                </c:pt>
                <c:pt idx="8" formatCode="0.000">
                  <c:v>0.11</c:v>
                </c:pt>
                <c:pt idx="9" formatCode="0.00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2-401D-A3A8-39FA876CDF6D}"/>
            </c:ext>
          </c:extLst>
        </c:ser>
        <c:ser>
          <c:idx val="2"/>
          <c:order val="2"/>
          <c:tx>
            <c:strRef>
              <c:f>'PARAMETROS FISICOS'!$B$152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FISICOS'!$E$152:$N$152</c:f>
              <c:numCache>
                <c:formatCode>0.0</c:formatCode>
                <c:ptCount val="10"/>
                <c:pt idx="0" formatCode="0.000">
                  <c:v>0.12</c:v>
                </c:pt>
                <c:pt idx="8" formatCode="0.000">
                  <c:v>0.09</c:v>
                </c:pt>
                <c:pt idx="9" formatCode="0.00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42-401D-A3A8-39FA876CDF6D}"/>
            </c:ext>
          </c:extLst>
        </c:ser>
        <c:ser>
          <c:idx val="3"/>
          <c:order val="3"/>
          <c:tx>
            <c:strRef>
              <c:f>'PARAMETROS FISICOS'!$B$153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FISICOS'!$E$153:$N$153</c:f>
              <c:numCache>
                <c:formatCode>0.0</c:formatCode>
                <c:ptCount val="10"/>
                <c:pt idx="0" formatCode="0.000">
                  <c:v>0.1</c:v>
                </c:pt>
                <c:pt idx="8" formatCode="0.000">
                  <c:v>0.1</c:v>
                </c:pt>
                <c:pt idx="9" formatCode="0.00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42-401D-A3A8-39FA876CDF6D}"/>
            </c:ext>
          </c:extLst>
        </c:ser>
        <c:ser>
          <c:idx val="4"/>
          <c:order val="4"/>
          <c:tx>
            <c:strRef>
              <c:f>'PARAMETROS FISICOS'!$B$154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FISICOS'!$E$154:$N$154</c:f>
              <c:numCache>
                <c:formatCode>0.0</c:formatCode>
                <c:ptCount val="10"/>
                <c:pt idx="0" formatCode="0.000">
                  <c:v>0.13</c:v>
                </c:pt>
                <c:pt idx="8" formatCode="0.000">
                  <c:v>0.16</c:v>
                </c:pt>
                <c:pt idx="9" formatCode="0.00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2-401D-A3A8-39FA876CDF6D}"/>
            </c:ext>
          </c:extLst>
        </c:ser>
        <c:ser>
          <c:idx val="5"/>
          <c:order val="5"/>
          <c:tx>
            <c:strRef>
              <c:f>'PARAMETROS FISICOS'!$B$155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FISICOS'!$E$155:$N$155</c:f>
              <c:numCache>
                <c:formatCode>0.0</c:formatCode>
                <c:ptCount val="10"/>
                <c:pt idx="0" formatCode="0.000">
                  <c:v>0.26</c:v>
                </c:pt>
                <c:pt idx="8" formatCode="0.000">
                  <c:v>0.12</c:v>
                </c:pt>
                <c:pt idx="9" formatCode="0.00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42-401D-A3A8-39FA876CDF6D}"/>
            </c:ext>
          </c:extLst>
        </c:ser>
        <c:ser>
          <c:idx val="6"/>
          <c:order val="6"/>
          <c:tx>
            <c:strRef>
              <c:f>'PARAMETROS FISICOS'!$B$156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rgbClr val="FF6699"/>
            </a:solidFill>
            <a:ln>
              <a:solidFill>
                <a:srgbClr val="FF669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FISICOS'!$E$4:$N$4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'PARAMETROS FISICOS'!$E$156:$N$156</c:f>
              <c:numCache>
                <c:formatCode>0.0</c:formatCode>
                <c:ptCount val="10"/>
                <c:pt idx="0" formatCode="0.000">
                  <c:v>0.27</c:v>
                </c:pt>
                <c:pt idx="8" formatCode="0.000">
                  <c:v>0.13</c:v>
                </c:pt>
                <c:pt idx="9" formatCode="0.00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42-401D-A3A8-39FA876CD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21752"/>
        <c:axId val="513122144"/>
        <c:extLst/>
      </c:barChart>
      <c:catAx>
        <c:axId val="51312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22144"/>
        <c:crosses val="autoZero"/>
        <c:auto val="1"/>
        <c:lblAlgn val="ctr"/>
        <c:lblOffset val="100"/>
        <c:noMultiLvlLbl val="0"/>
      </c:catAx>
      <c:valAx>
        <c:axId val="513122144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51312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coliformes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FISICOS'!$B$161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FISICOS'!$F$161:$N$161</c:f>
              <c:numCache>
                <c:formatCode>0.0</c:formatCode>
                <c:ptCount val="9"/>
                <c:pt idx="0">
                  <c:v>11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43</c:v>
                </c:pt>
                <c:pt idx="6">
                  <c:v>93</c:v>
                </c:pt>
                <c:pt idx="7">
                  <c:v>150</c:v>
                </c:pt>
                <c:pt idx="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9-4CBA-96F4-CB5676FD6AA5}"/>
            </c:ext>
          </c:extLst>
        </c:ser>
        <c:ser>
          <c:idx val="1"/>
          <c:order val="1"/>
          <c:tx>
            <c:strRef>
              <c:f>'PARAMETROS FISICOS'!$B$162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FISICOS'!$F$162:$N$162</c:f>
              <c:numCache>
                <c:formatCode>0.0</c:formatCode>
                <c:ptCount val="9"/>
                <c:pt idx="0">
                  <c:v>7.2</c:v>
                </c:pt>
                <c:pt idx="1">
                  <c:v>11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23</c:v>
                </c:pt>
                <c:pt idx="6">
                  <c:v>43</c:v>
                </c:pt>
                <c:pt idx="7">
                  <c:v>75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9-4CBA-96F4-CB5676FD6AA5}"/>
            </c:ext>
          </c:extLst>
        </c:ser>
        <c:ser>
          <c:idx val="2"/>
          <c:order val="2"/>
          <c:tx>
            <c:strRef>
              <c:f>'PARAMETROS FISICOS'!$B$163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FISICOS'!$F$163:$N$163</c:f>
              <c:numCache>
                <c:formatCode>0.0</c:formatCode>
                <c:ptCount val="9"/>
                <c:pt idx="0">
                  <c:v>15</c:v>
                </c:pt>
                <c:pt idx="1">
                  <c:v>11</c:v>
                </c:pt>
                <c:pt idx="2">
                  <c:v>7.3</c:v>
                </c:pt>
                <c:pt idx="3">
                  <c:v>9.1999999999999993</c:v>
                </c:pt>
                <c:pt idx="4">
                  <c:v>11</c:v>
                </c:pt>
                <c:pt idx="5">
                  <c:v>21</c:v>
                </c:pt>
                <c:pt idx="6">
                  <c:v>35</c:v>
                </c:pt>
                <c:pt idx="7">
                  <c:v>75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9-4CBA-96F4-CB5676FD6AA5}"/>
            </c:ext>
          </c:extLst>
        </c:ser>
        <c:ser>
          <c:idx val="3"/>
          <c:order val="3"/>
          <c:tx>
            <c:strRef>
              <c:f>'PARAMETROS FISICOS'!$B$164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FISICOS'!$F$164:$N$164</c:f>
              <c:numCache>
                <c:formatCode>0.0</c:formatCode>
                <c:ptCount val="9"/>
                <c:pt idx="0">
                  <c:v>7.3</c:v>
                </c:pt>
                <c:pt idx="1">
                  <c:v>11</c:v>
                </c:pt>
                <c:pt idx="2">
                  <c:v>16</c:v>
                </c:pt>
                <c:pt idx="3">
                  <c:v>13</c:v>
                </c:pt>
                <c:pt idx="4">
                  <c:v>15</c:v>
                </c:pt>
                <c:pt idx="5">
                  <c:v>21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D9-4CBA-96F4-CB5676FD6AA5}"/>
            </c:ext>
          </c:extLst>
        </c:ser>
        <c:ser>
          <c:idx val="4"/>
          <c:order val="4"/>
          <c:tx>
            <c:strRef>
              <c:f>'PARAMETROS FISICOS'!$B$165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FISICOS'!$F$165:$N$165</c:f>
              <c:numCache>
                <c:formatCode>0.0</c:formatCode>
                <c:ptCount val="9"/>
                <c:pt idx="0">
                  <c:v>9.3000000000000007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24</c:v>
                </c:pt>
                <c:pt idx="6">
                  <c:v>35</c:v>
                </c:pt>
                <c:pt idx="7">
                  <c:v>43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9-4CBA-96F4-CB5676FD6AA5}"/>
            </c:ext>
          </c:extLst>
        </c:ser>
        <c:ser>
          <c:idx val="5"/>
          <c:order val="5"/>
          <c:tx>
            <c:strRef>
              <c:f>'PARAMETROS FISICOS'!$B$166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FISICOS'!$F$166:$N$166</c:f>
              <c:numCache>
                <c:formatCode>0.0</c:formatCode>
                <c:ptCount val="9"/>
                <c:pt idx="0">
                  <c:v>3.6</c:v>
                </c:pt>
                <c:pt idx="1">
                  <c:v>7.3</c:v>
                </c:pt>
                <c:pt idx="2">
                  <c:v>7.2</c:v>
                </c:pt>
                <c:pt idx="3">
                  <c:v>9.1999999999999993</c:v>
                </c:pt>
                <c:pt idx="4">
                  <c:v>9</c:v>
                </c:pt>
                <c:pt idx="5">
                  <c:v>9</c:v>
                </c:pt>
                <c:pt idx="6">
                  <c:v>15</c:v>
                </c:pt>
                <c:pt idx="7">
                  <c:v>35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D9-4CBA-96F4-CB5676FD6AA5}"/>
            </c:ext>
          </c:extLst>
        </c:ser>
        <c:ser>
          <c:idx val="6"/>
          <c:order val="6"/>
          <c:tx>
            <c:strRef>
              <c:f>'PARAMETROS FISICOS'!$B$167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FISICOS'!$F$167:$N$167</c:f>
              <c:numCache>
                <c:formatCode>0.0</c:formatCode>
                <c:ptCount val="9"/>
                <c:pt idx="0">
                  <c:v>9.1999999999999993</c:v>
                </c:pt>
                <c:pt idx="1">
                  <c:v>3.6</c:v>
                </c:pt>
                <c:pt idx="2">
                  <c:v>7.2</c:v>
                </c:pt>
                <c:pt idx="3">
                  <c:v>7.3</c:v>
                </c:pt>
                <c:pt idx="4">
                  <c:v>6</c:v>
                </c:pt>
                <c:pt idx="5">
                  <c:v>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9-4CBA-96F4-CB5676FD6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15480"/>
        <c:axId val="513115088"/>
        <c:extLst/>
      </c:barChart>
      <c:catAx>
        <c:axId val="51311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15088"/>
        <c:crosses val="autoZero"/>
        <c:auto val="1"/>
        <c:lblAlgn val="ctr"/>
        <c:lblOffset val="100"/>
        <c:noMultiLvlLbl val="0"/>
      </c:catAx>
      <c:valAx>
        <c:axId val="51311508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1311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coliformes termotolerantes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4.4089827556602151E-2"/>
          <c:y val="0.25621542345374765"/>
          <c:w val="0.94048771092588035"/>
          <c:h val="0.6268286349702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'PARAMETROS FISICOS'!$B$172</c:f>
              <c:strCache>
                <c:ptCount val="1"/>
                <c:pt idx="0">
                  <c:v>Dren Bitín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FISICOS'!$F$172:$N$172</c:f>
              <c:numCache>
                <c:formatCode>0.0</c:formatCode>
                <c:ptCount val="9"/>
                <c:pt idx="0">
                  <c:v>3.6</c:v>
                </c:pt>
                <c:pt idx="1">
                  <c:v>3</c:v>
                </c:pt>
                <c:pt idx="2">
                  <c:v>7.3</c:v>
                </c:pt>
                <c:pt idx="3">
                  <c:v>9.3000000000000007</c:v>
                </c:pt>
                <c:pt idx="4">
                  <c:v>9.1</c:v>
                </c:pt>
                <c:pt idx="5">
                  <c:v>23</c:v>
                </c:pt>
                <c:pt idx="6">
                  <c:v>43</c:v>
                </c:pt>
                <c:pt idx="7">
                  <c:v>75</c:v>
                </c:pt>
                <c:pt idx="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C-46A0-92E1-C89507C5E53B}"/>
            </c:ext>
          </c:extLst>
        </c:ser>
        <c:ser>
          <c:idx val="1"/>
          <c:order val="1"/>
          <c:tx>
            <c:strRef>
              <c:f>'PARAMETROS FISICOS'!$B$173</c:f>
              <c:strCache>
                <c:ptCount val="1"/>
                <c:pt idx="0">
                  <c:v>Dren DV-4.3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FISICOS'!$F$173:$N$173</c:f>
              <c:numCache>
                <c:formatCode>0.0</c:formatCode>
                <c:ptCount val="9"/>
                <c:pt idx="0">
                  <c:v>3.6</c:v>
                </c:pt>
                <c:pt idx="1">
                  <c:v>7.2</c:v>
                </c:pt>
                <c:pt idx="2">
                  <c:v>7.3</c:v>
                </c:pt>
                <c:pt idx="3">
                  <c:v>11</c:v>
                </c:pt>
                <c:pt idx="4">
                  <c:v>7.2</c:v>
                </c:pt>
                <c:pt idx="5">
                  <c:v>9.1</c:v>
                </c:pt>
                <c:pt idx="6">
                  <c:v>23</c:v>
                </c:pt>
                <c:pt idx="7">
                  <c:v>43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C-46A0-92E1-C89507C5E53B}"/>
            </c:ext>
          </c:extLst>
        </c:ser>
        <c:ser>
          <c:idx val="2"/>
          <c:order val="2"/>
          <c:tx>
            <c:strRef>
              <c:f>'PARAMETROS FISICOS'!$B$174</c:f>
              <c:strCache>
                <c:ptCount val="1"/>
                <c:pt idx="0">
                  <c:v>Dren DV-4.0 (1)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FISICOS'!$F$174:$N$174</c:f>
              <c:numCache>
                <c:formatCode>0.0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6.1</c:v>
                </c:pt>
                <c:pt idx="4">
                  <c:v>7.2</c:v>
                </c:pt>
                <c:pt idx="5">
                  <c:v>15</c:v>
                </c:pt>
                <c:pt idx="6">
                  <c:v>28</c:v>
                </c:pt>
                <c:pt idx="7">
                  <c:v>23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C-46A0-92E1-C89507C5E53B}"/>
            </c:ext>
          </c:extLst>
        </c:ser>
        <c:ser>
          <c:idx val="3"/>
          <c:order val="3"/>
          <c:tx>
            <c:strRef>
              <c:f>'PARAMETROS FISICOS'!$B$175</c:f>
              <c:strCache>
                <c:ptCount val="1"/>
                <c:pt idx="0">
                  <c:v>Dren DV-4.0 (2)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FISICOS'!$F$175:$N$175</c:f>
              <c:numCache>
                <c:formatCode>0.0</c:formatCode>
                <c:ptCount val="9"/>
                <c:pt idx="0">
                  <c:v>3.6</c:v>
                </c:pt>
                <c:pt idx="1">
                  <c:v>11</c:v>
                </c:pt>
                <c:pt idx="2">
                  <c:v>11</c:v>
                </c:pt>
                <c:pt idx="3">
                  <c:v>6.1</c:v>
                </c:pt>
                <c:pt idx="4">
                  <c:v>11</c:v>
                </c:pt>
                <c:pt idx="5">
                  <c:v>15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C-46A0-92E1-C89507C5E53B}"/>
            </c:ext>
          </c:extLst>
        </c:ser>
        <c:ser>
          <c:idx val="4"/>
          <c:order val="4"/>
          <c:tx>
            <c:strRef>
              <c:f>'PARAMETROS FISICOS'!$B$176</c:f>
              <c:strCache>
                <c:ptCount val="1"/>
                <c:pt idx="0">
                  <c:v>Dren DV-4.0 (3)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FISICOS'!$F$176:$N$176</c:f>
              <c:numCache>
                <c:formatCode>0.0</c:formatCode>
                <c:ptCount val="9"/>
                <c:pt idx="0">
                  <c:v>3</c:v>
                </c:pt>
                <c:pt idx="1">
                  <c:v>7.3</c:v>
                </c:pt>
                <c:pt idx="2">
                  <c:v>7.3</c:v>
                </c:pt>
                <c:pt idx="3">
                  <c:v>9.3000000000000007</c:v>
                </c:pt>
                <c:pt idx="4">
                  <c:v>3.6</c:v>
                </c:pt>
                <c:pt idx="5">
                  <c:v>15</c:v>
                </c:pt>
                <c:pt idx="6">
                  <c:v>21</c:v>
                </c:pt>
                <c:pt idx="7">
                  <c:v>15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3C-46A0-92E1-C89507C5E53B}"/>
            </c:ext>
          </c:extLst>
        </c:ser>
        <c:ser>
          <c:idx val="5"/>
          <c:order val="5"/>
          <c:tx>
            <c:strRef>
              <c:f>'PARAMETROS FISICOS'!$B$177</c:f>
              <c:strCache>
                <c:ptCount val="1"/>
                <c:pt idx="0">
                  <c:v>Canal Madre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FISICOS'!$F$177:$N$177</c:f>
              <c:numCache>
                <c:formatCode>0.0</c:formatCode>
                <c:ptCount val="9"/>
                <c:pt idx="0">
                  <c:v>3</c:v>
                </c:pt>
                <c:pt idx="1">
                  <c:v>7.3</c:v>
                </c:pt>
                <c:pt idx="2">
                  <c:v>3.6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3C-46A0-92E1-C89507C5E53B}"/>
            </c:ext>
          </c:extLst>
        </c:ser>
        <c:ser>
          <c:idx val="6"/>
          <c:order val="6"/>
          <c:tx>
            <c:strRef>
              <c:f>'PARAMETROS FISICOS'!$B$178</c:f>
              <c:strCache>
                <c:ptCount val="1"/>
                <c:pt idx="0">
                  <c:v>Central Hidroeléctrica Virú San José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'PARAMETROS FISICOS'!$F$4:$N$4</c:f>
              <c:strCache>
                <c:ptCount val="9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  <c:pt idx="4">
                  <c:v>AGOSTO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'PARAMETROS FISICOS'!$F$178:$N$178</c:f>
              <c:numCache>
                <c:formatCode>0.0</c:formatCode>
                <c:ptCount val="9"/>
                <c:pt idx="0">
                  <c:v>3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</c:v>
                </c:pt>
                <c:pt idx="5">
                  <c:v>3</c:v>
                </c:pt>
                <c:pt idx="6">
                  <c:v>15</c:v>
                </c:pt>
                <c:pt idx="7">
                  <c:v>9.1</c:v>
                </c:pt>
                <c:pt idx="8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C-46A0-92E1-C89507C5E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13114304"/>
        <c:axId val="513122536"/>
        <c:extLst/>
      </c:barChart>
      <c:catAx>
        <c:axId val="51311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3122536"/>
        <c:crosses val="autoZero"/>
        <c:auto val="1"/>
        <c:lblAlgn val="ctr"/>
        <c:lblOffset val="100"/>
        <c:noMultiLvlLbl val="0"/>
      </c:catAx>
      <c:valAx>
        <c:axId val="5131225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1311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Relationship Id="rId14" Type="http://schemas.openxmlformats.org/officeDocument/2006/relationships/chart" Target="../charts/chart68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6.xml"/><Relationship Id="rId13" Type="http://schemas.openxmlformats.org/officeDocument/2006/relationships/chart" Target="../charts/chart81.xml"/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12" Type="http://schemas.openxmlformats.org/officeDocument/2006/relationships/chart" Target="../charts/chart80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11" Type="http://schemas.openxmlformats.org/officeDocument/2006/relationships/chart" Target="../charts/chart79.xml"/><Relationship Id="rId5" Type="http://schemas.openxmlformats.org/officeDocument/2006/relationships/chart" Target="../charts/chart73.xml"/><Relationship Id="rId10" Type="http://schemas.openxmlformats.org/officeDocument/2006/relationships/chart" Target="../charts/chart78.xml"/><Relationship Id="rId4" Type="http://schemas.openxmlformats.org/officeDocument/2006/relationships/chart" Target="../charts/chart72.xml"/><Relationship Id="rId9" Type="http://schemas.openxmlformats.org/officeDocument/2006/relationships/chart" Target="../charts/chart77.xml"/><Relationship Id="rId14" Type="http://schemas.openxmlformats.org/officeDocument/2006/relationships/chart" Target="../charts/chart82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3.xml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2.xml"/><Relationship Id="rId13" Type="http://schemas.openxmlformats.org/officeDocument/2006/relationships/chart" Target="../charts/chart97.xml"/><Relationship Id="rId3" Type="http://schemas.openxmlformats.org/officeDocument/2006/relationships/chart" Target="../charts/chart87.xml"/><Relationship Id="rId7" Type="http://schemas.openxmlformats.org/officeDocument/2006/relationships/chart" Target="../charts/chart91.xml"/><Relationship Id="rId12" Type="http://schemas.openxmlformats.org/officeDocument/2006/relationships/chart" Target="../charts/chart96.xml"/><Relationship Id="rId2" Type="http://schemas.openxmlformats.org/officeDocument/2006/relationships/chart" Target="../charts/chart86.xml"/><Relationship Id="rId16" Type="http://schemas.openxmlformats.org/officeDocument/2006/relationships/chart" Target="../charts/chart100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11" Type="http://schemas.openxmlformats.org/officeDocument/2006/relationships/chart" Target="../charts/chart95.xml"/><Relationship Id="rId5" Type="http://schemas.openxmlformats.org/officeDocument/2006/relationships/chart" Target="../charts/chart89.xml"/><Relationship Id="rId15" Type="http://schemas.openxmlformats.org/officeDocument/2006/relationships/chart" Target="../charts/chart99.xml"/><Relationship Id="rId10" Type="http://schemas.openxmlformats.org/officeDocument/2006/relationships/chart" Target="../charts/chart94.xml"/><Relationship Id="rId4" Type="http://schemas.openxmlformats.org/officeDocument/2006/relationships/chart" Target="../charts/chart88.xml"/><Relationship Id="rId9" Type="http://schemas.openxmlformats.org/officeDocument/2006/relationships/chart" Target="../charts/chart93.xml"/><Relationship Id="rId14" Type="http://schemas.openxmlformats.org/officeDocument/2006/relationships/chart" Target="../charts/chart98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8.xml"/><Relationship Id="rId13" Type="http://schemas.openxmlformats.org/officeDocument/2006/relationships/chart" Target="../charts/chart113.xml"/><Relationship Id="rId3" Type="http://schemas.openxmlformats.org/officeDocument/2006/relationships/chart" Target="../charts/chart103.xml"/><Relationship Id="rId7" Type="http://schemas.openxmlformats.org/officeDocument/2006/relationships/chart" Target="../charts/chart107.xml"/><Relationship Id="rId12" Type="http://schemas.openxmlformats.org/officeDocument/2006/relationships/chart" Target="../charts/chart112.xml"/><Relationship Id="rId2" Type="http://schemas.openxmlformats.org/officeDocument/2006/relationships/chart" Target="../charts/chart102.xml"/><Relationship Id="rId16" Type="http://schemas.openxmlformats.org/officeDocument/2006/relationships/chart" Target="../charts/chart116.xml"/><Relationship Id="rId1" Type="http://schemas.openxmlformats.org/officeDocument/2006/relationships/chart" Target="../charts/chart101.xml"/><Relationship Id="rId6" Type="http://schemas.openxmlformats.org/officeDocument/2006/relationships/chart" Target="../charts/chart106.xml"/><Relationship Id="rId11" Type="http://schemas.openxmlformats.org/officeDocument/2006/relationships/chart" Target="../charts/chart111.xml"/><Relationship Id="rId5" Type="http://schemas.openxmlformats.org/officeDocument/2006/relationships/chart" Target="../charts/chart105.xml"/><Relationship Id="rId15" Type="http://schemas.openxmlformats.org/officeDocument/2006/relationships/chart" Target="../charts/chart115.xml"/><Relationship Id="rId10" Type="http://schemas.openxmlformats.org/officeDocument/2006/relationships/chart" Target="../charts/chart110.xml"/><Relationship Id="rId4" Type="http://schemas.openxmlformats.org/officeDocument/2006/relationships/chart" Target="../charts/chart104.xml"/><Relationship Id="rId9" Type="http://schemas.openxmlformats.org/officeDocument/2006/relationships/chart" Target="../charts/chart109.xml"/><Relationship Id="rId14" Type="http://schemas.openxmlformats.org/officeDocument/2006/relationships/chart" Target="../charts/chart1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604994</xdr:colOff>
      <xdr:row>44</xdr:row>
      <xdr:rowOff>222948</xdr:rowOff>
    </xdr:from>
    <xdr:to>
      <xdr:col>16</xdr:col>
      <xdr:colOff>26690</xdr:colOff>
      <xdr:row>56</xdr:row>
      <xdr:rowOff>91376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231321</xdr:colOff>
      <xdr:row>55</xdr:row>
      <xdr:rowOff>149679</xdr:rowOff>
    </xdr:from>
    <xdr:to>
      <xdr:col>19</xdr:col>
      <xdr:colOff>415017</xdr:colOff>
      <xdr:row>70</xdr:row>
      <xdr:rowOff>35379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457199</xdr:colOff>
      <xdr:row>3</xdr:row>
      <xdr:rowOff>158597</xdr:rowOff>
    </xdr:from>
    <xdr:to>
      <xdr:col>19</xdr:col>
      <xdr:colOff>35528</xdr:colOff>
      <xdr:row>18</xdr:row>
      <xdr:rowOff>48531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11</xdr:col>
      <xdr:colOff>757767</xdr:colOff>
      <xdr:row>38</xdr:row>
      <xdr:rowOff>68580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21</xdr:col>
      <xdr:colOff>757767</xdr:colOff>
      <xdr:row>39</xdr:row>
      <xdr:rowOff>152476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20</xdr:col>
      <xdr:colOff>592667</xdr:colOff>
      <xdr:row>55</xdr:row>
      <xdr:rowOff>135466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11</xdr:col>
      <xdr:colOff>757767</xdr:colOff>
      <xdr:row>60</xdr:row>
      <xdr:rowOff>152476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62</xdr:row>
      <xdr:rowOff>0</xdr:rowOff>
    </xdr:from>
    <xdr:to>
      <xdr:col>11</xdr:col>
      <xdr:colOff>757767</xdr:colOff>
      <xdr:row>83</xdr:row>
      <xdr:rowOff>167870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</xdr:row>
      <xdr:rowOff>0</xdr:rowOff>
    </xdr:from>
    <xdr:to>
      <xdr:col>10</xdr:col>
      <xdr:colOff>757766</xdr:colOff>
      <xdr:row>19</xdr:row>
      <xdr:rowOff>68580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62</xdr:row>
      <xdr:rowOff>0</xdr:rowOff>
    </xdr:from>
    <xdr:to>
      <xdr:col>21</xdr:col>
      <xdr:colOff>757767</xdr:colOff>
      <xdr:row>89</xdr:row>
      <xdr:rowOff>137852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753533</xdr:colOff>
      <xdr:row>85</xdr:row>
      <xdr:rowOff>160866</xdr:rowOff>
    </xdr:from>
    <xdr:to>
      <xdr:col>9</xdr:col>
      <xdr:colOff>790094</xdr:colOff>
      <xdr:row>107</xdr:row>
      <xdr:rowOff>63191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96</xdr:row>
      <xdr:rowOff>0</xdr:rowOff>
    </xdr:from>
    <xdr:to>
      <xdr:col>16</xdr:col>
      <xdr:colOff>592666</xdr:colOff>
      <xdr:row>110</xdr:row>
      <xdr:rowOff>135467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3</xdr:row>
      <xdr:rowOff>85725</xdr:rowOff>
    </xdr:from>
    <xdr:to>
      <xdr:col>21</xdr:col>
      <xdr:colOff>635750</xdr:colOff>
      <xdr:row>12</xdr:row>
      <xdr:rowOff>43059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27</xdr:col>
      <xdr:colOff>647700</xdr:colOff>
      <xdr:row>12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12</xdr:row>
      <xdr:rowOff>190500</xdr:rowOff>
    </xdr:from>
    <xdr:to>
      <xdr:col>21</xdr:col>
      <xdr:colOff>400050</xdr:colOff>
      <xdr:row>26</xdr:row>
      <xdr:rowOff>266183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495300</xdr:colOff>
      <xdr:row>12</xdr:row>
      <xdr:rowOff>85725</xdr:rowOff>
    </xdr:from>
    <xdr:to>
      <xdr:col>27</xdr:col>
      <xdr:colOff>755650</xdr:colOff>
      <xdr:row>26</xdr:row>
      <xdr:rowOff>187529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27</xdr:row>
      <xdr:rowOff>66675</xdr:rowOff>
    </xdr:from>
    <xdr:to>
      <xdr:col>21</xdr:col>
      <xdr:colOff>495300</xdr:colOff>
      <xdr:row>46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657225</xdr:colOff>
      <xdr:row>27</xdr:row>
      <xdr:rowOff>47625</xdr:rowOff>
    </xdr:from>
    <xdr:to>
      <xdr:col>28</xdr:col>
      <xdr:colOff>609600</xdr:colOff>
      <xdr:row>46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3</xdr:row>
      <xdr:rowOff>85725</xdr:rowOff>
    </xdr:from>
    <xdr:to>
      <xdr:col>21</xdr:col>
      <xdr:colOff>635750</xdr:colOff>
      <xdr:row>12</xdr:row>
      <xdr:rowOff>43059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27</xdr:col>
      <xdr:colOff>647700</xdr:colOff>
      <xdr:row>12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12</xdr:row>
      <xdr:rowOff>190500</xdr:rowOff>
    </xdr:from>
    <xdr:to>
      <xdr:col>21</xdr:col>
      <xdr:colOff>400050</xdr:colOff>
      <xdr:row>32</xdr:row>
      <xdr:rowOff>266183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495300</xdr:colOff>
      <xdr:row>12</xdr:row>
      <xdr:rowOff>85725</xdr:rowOff>
    </xdr:from>
    <xdr:to>
      <xdr:col>27</xdr:col>
      <xdr:colOff>755650</xdr:colOff>
      <xdr:row>32</xdr:row>
      <xdr:rowOff>187529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33</xdr:row>
      <xdr:rowOff>66675</xdr:rowOff>
    </xdr:from>
    <xdr:to>
      <xdr:col>21</xdr:col>
      <xdr:colOff>495300</xdr:colOff>
      <xdr:row>52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657225</xdr:colOff>
      <xdr:row>33</xdr:row>
      <xdr:rowOff>47625</xdr:rowOff>
    </xdr:from>
    <xdr:to>
      <xdr:col>28</xdr:col>
      <xdr:colOff>609600</xdr:colOff>
      <xdr:row>52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3</xdr:row>
      <xdr:rowOff>85725</xdr:rowOff>
    </xdr:from>
    <xdr:to>
      <xdr:col>21</xdr:col>
      <xdr:colOff>635750</xdr:colOff>
      <xdr:row>12</xdr:row>
      <xdr:rowOff>43059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E33F72-6CD0-40FD-A43F-C3BD1DEB4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27</xdr:col>
      <xdr:colOff>647700</xdr:colOff>
      <xdr:row>12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BEA327-CF3F-48B2-8209-1478E855B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12</xdr:row>
      <xdr:rowOff>190500</xdr:rowOff>
    </xdr:from>
    <xdr:to>
      <xdr:col>21</xdr:col>
      <xdr:colOff>400050</xdr:colOff>
      <xdr:row>32</xdr:row>
      <xdr:rowOff>266183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CDCF2C-C681-47D1-A4AF-1214B0E3C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495300</xdr:colOff>
      <xdr:row>12</xdr:row>
      <xdr:rowOff>85725</xdr:rowOff>
    </xdr:from>
    <xdr:to>
      <xdr:col>27</xdr:col>
      <xdr:colOff>755650</xdr:colOff>
      <xdr:row>32</xdr:row>
      <xdr:rowOff>187529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7C15EA-30F1-41BC-AAE0-EF29B7429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33</xdr:row>
      <xdr:rowOff>66675</xdr:rowOff>
    </xdr:from>
    <xdr:to>
      <xdr:col>21</xdr:col>
      <xdr:colOff>495300</xdr:colOff>
      <xdr:row>52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D9C8919-FBE4-4847-A197-5CDE3A4F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657225</xdr:colOff>
      <xdr:row>33</xdr:row>
      <xdr:rowOff>47625</xdr:rowOff>
    </xdr:from>
    <xdr:to>
      <xdr:col>28</xdr:col>
      <xdr:colOff>609600</xdr:colOff>
      <xdr:row>52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1EE5FBF-FD3C-4A88-A8A2-C05A94F29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285750</xdr:colOff>
          <xdr:row>3</xdr:row>
          <xdr:rowOff>85725</xdr:rowOff>
        </xdr:from>
        <xdr:to>
          <xdr:col>21</xdr:col>
          <xdr:colOff>219075</xdr:colOff>
          <xdr:row>21</xdr:row>
          <xdr:rowOff>285750</xdr:rowOff>
        </xdr:to>
        <xdr:sp macro="" textlink="">
          <xdr:nvSpPr>
            <xdr:cNvPr id="38913" name="Object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4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285750</xdr:colOff>
          <xdr:row>3</xdr:row>
          <xdr:rowOff>85725</xdr:rowOff>
        </xdr:from>
        <xdr:to>
          <xdr:col>21</xdr:col>
          <xdr:colOff>219075</xdr:colOff>
          <xdr:row>22</xdr:row>
          <xdr:rowOff>114300</xdr:rowOff>
        </xdr:to>
        <xdr:sp macro="" textlink="">
          <xdr:nvSpPr>
            <xdr:cNvPr id="52225" name="Object 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05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123825</xdr:colOff>
          <xdr:row>2</xdr:row>
          <xdr:rowOff>57150</xdr:rowOff>
        </xdr:from>
        <xdr:to>
          <xdr:col>21</xdr:col>
          <xdr:colOff>57150</xdr:colOff>
          <xdr:row>22</xdr:row>
          <xdr:rowOff>76200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6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14</xdr:row>
          <xdr:rowOff>57150</xdr:rowOff>
        </xdr:from>
        <xdr:to>
          <xdr:col>21</xdr:col>
          <xdr:colOff>733425</xdr:colOff>
          <xdr:row>36</xdr:row>
          <xdr:rowOff>142875</xdr:rowOff>
        </xdr:to>
        <xdr:sp macro="" textlink="">
          <xdr:nvSpPr>
            <xdr:cNvPr id="65537" name="Object 1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07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447675</xdr:colOff>
          <xdr:row>11</xdr:row>
          <xdr:rowOff>247650</xdr:rowOff>
        </xdr:from>
        <xdr:to>
          <xdr:col>21</xdr:col>
          <xdr:colOff>390525</xdr:colOff>
          <xdr:row>33</xdr:row>
          <xdr:rowOff>28575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</xdr:row>
          <xdr:rowOff>28575</xdr:rowOff>
        </xdr:from>
        <xdr:to>
          <xdr:col>20</xdr:col>
          <xdr:colOff>95250</xdr:colOff>
          <xdr:row>10</xdr:row>
          <xdr:rowOff>342900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9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35</xdr:row>
          <xdr:rowOff>38100</xdr:rowOff>
        </xdr:from>
        <xdr:to>
          <xdr:col>7</xdr:col>
          <xdr:colOff>352425</xdr:colOff>
          <xdr:row>54</xdr:row>
          <xdr:rowOff>104775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A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111919</xdr:colOff>
      <xdr:row>3</xdr:row>
      <xdr:rowOff>10318</xdr:rowOff>
    </xdr:from>
    <xdr:to>
      <xdr:col>19</xdr:col>
      <xdr:colOff>445898</xdr:colOff>
      <xdr:row>14</xdr:row>
      <xdr:rowOff>2380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84666</xdr:colOff>
      <xdr:row>2</xdr:row>
      <xdr:rowOff>63500</xdr:rowOff>
    </xdr:from>
    <xdr:to>
      <xdr:col>22</xdr:col>
      <xdr:colOff>80433</xdr:colOff>
      <xdr:row>17</xdr:row>
      <xdr:rowOff>47414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74084</xdr:colOff>
      <xdr:row>6</xdr:row>
      <xdr:rowOff>412750</xdr:rowOff>
    </xdr:from>
    <xdr:to>
      <xdr:col>19</xdr:col>
      <xdr:colOff>408063</xdr:colOff>
      <xdr:row>20</xdr:row>
      <xdr:rowOff>34396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84666</xdr:colOff>
      <xdr:row>3</xdr:row>
      <xdr:rowOff>116418</xdr:rowOff>
    </xdr:from>
    <xdr:to>
      <xdr:col>22</xdr:col>
      <xdr:colOff>80433</xdr:colOff>
      <xdr:row>17</xdr:row>
      <xdr:rowOff>184998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63500</xdr:colOff>
      <xdr:row>11</xdr:row>
      <xdr:rowOff>169333</xdr:rowOff>
    </xdr:from>
    <xdr:to>
      <xdr:col>19</xdr:col>
      <xdr:colOff>397479</xdr:colOff>
      <xdr:row>25</xdr:row>
      <xdr:rowOff>119062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63500</xdr:colOff>
      <xdr:row>3</xdr:row>
      <xdr:rowOff>254001</xdr:rowOff>
    </xdr:from>
    <xdr:to>
      <xdr:col>22</xdr:col>
      <xdr:colOff>127000</xdr:colOff>
      <xdr:row>18</xdr:row>
      <xdr:rowOff>84667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444499</xdr:colOff>
      <xdr:row>11</xdr:row>
      <xdr:rowOff>95248</xdr:rowOff>
    </xdr:from>
    <xdr:to>
      <xdr:col>31</xdr:col>
      <xdr:colOff>270933</xdr:colOff>
      <xdr:row>32</xdr:row>
      <xdr:rowOff>159017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116418</xdr:colOff>
      <xdr:row>19</xdr:row>
      <xdr:rowOff>190501</xdr:rowOff>
    </xdr:from>
    <xdr:to>
      <xdr:col>21</xdr:col>
      <xdr:colOff>175685</xdr:colOff>
      <xdr:row>40</xdr:row>
      <xdr:rowOff>159020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28</xdr:row>
          <xdr:rowOff>76200</xdr:rowOff>
        </xdr:from>
        <xdr:to>
          <xdr:col>7</xdr:col>
          <xdr:colOff>304800</xdr:colOff>
          <xdr:row>44</xdr:row>
          <xdr:rowOff>152400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B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111919</xdr:colOff>
      <xdr:row>3</xdr:row>
      <xdr:rowOff>10318</xdr:rowOff>
    </xdr:from>
    <xdr:to>
      <xdr:col>19</xdr:col>
      <xdr:colOff>445898</xdr:colOff>
      <xdr:row>14</xdr:row>
      <xdr:rowOff>2380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48031</xdr:colOff>
      <xdr:row>11</xdr:row>
      <xdr:rowOff>41519</xdr:rowOff>
    </xdr:from>
    <xdr:to>
      <xdr:col>33</xdr:col>
      <xdr:colOff>14491</xdr:colOff>
      <xdr:row>26</xdr:row>
      <xdr:rowOff>179299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425777</xdr:colOff>
      <xdr:row>37</xdr:row>
      <xdr:rowOff>140028</xdr:rowOff>
    </xdr:from>
    <xdr:to>
      <xdr:col>20</xdr:col>
      <xdr:colOff>622173</xdr:colOff>
      <xdr:row>53</xdr:row>
      <xdr:rowOff>89757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766070</xdr:colOff>
      <xdr:row>30</xdr:row>
      <xdr:rowOff>74085</xdr:rowOff>
    </xdr:from>
    <xdr:to>
      <xdr:col>13</xdr:col>
      <xdr:colOff>63338</xdr:colOff>
      <xdr:row>47</xdr:row>
      <xdr:rowOff>81608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612205</xdr:colOff>
      <xdr:row>4</xdr:row>
      <xdr:rowOff>28494</xdr:rowOff>
    </xdr:from>
    <xdr:to>
      <xdr:col>25</xdr:col>
      <xdr:colOff>680786</xdr:colOff>
      <xdr:row>17</xdr:row>
      <xdr:rowOff>102781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48032</xdr:colOff>
      <xdr:row>7</xdr:row>
      <xdr:rowOff>155493</xdr:rowOff>
    </xdr:from>
    <xdr:to>
      <xdr:col>21</xdr:col>
      <xdr:colOff>841783</xdr:colOff>
      <xdr:row>23</xdr:row>
      <xdr:rowOff>86294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728621</xdr:colOff>
      <xdr:row>38</xdr:row>
      <xdr:rowOff>112346</xdr:rowOff>
    </xdr:from>
    <xdr:to>
      <xdr:col>31</xdr:col>
      <xdr:colOff>555055</xdr:colOff>
      <xdr:row>66</xdr:row>
      <xdr:rowOff>21436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32</xdr:row>
      <xdr:rowOff>90364</xdr:rowOff>
    </xdr:from>
    <xdr:to>
      <xdr:col>11</xdr:col>
      <xdr:colOff>244068</xdr:colOff>
      <xdr:row>59</xdr:row>
      <xdr:rowOff>182627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28</xdr:row>
          <xdr:rowOff>66675</xdr:rowOff>
        </xdr:from>
        <xdr:to>
          <xdr:col>8</xdr:col>
          <xdr:colOff>600075</xdr:colOff>
          <xdr:row>44</xdr:row>
          <xdr:rowOff>142875</xdr:rowOff>
        </xdr:to>
        <xdr:sp macro="" textlink="">
          <xdr:nvSpPr>
            <xdr:cNvPr id="28673" name="Object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C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622299</xdr:colOff>
      <xdr:row>35</xdr:row>
      <xdr:rowOff>32079</xdr:rowOff>
    </xdr:from>
    <xdr:to>
      <xdr:col>16</xdr:col>
      <xdr:colOff>584072</xdr:colOff>
      <xdr:row>47</xdr:row>
      <xdr:rowOff>38101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260350</xdr:colOff>
      <xdr:row>47</xdr:row>
      <xdr:rowOff>152400</xdr:rowOff>
    </xdr:from>
    <xdr:to>
      <xdr:col>18</xdr:col>
      <xdr:colOff>463550</xdr:colOff>
      <xdr:row>61</xdr:row>
      <xdr:rowOff>5408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728621</xdr:colOff>
      <xdr:row>38</xdr:row>
      <xdr:rowOff>112346</xdr:rowOff>
    </xdr:from>
    <xdr:to>
      <xdr:col>31</xdr:col>
      <xdr:colOff>555055</xdr:colOff>
      <xdr:row>66</xdr:row>
      <xdr:rowOff>21436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31</xdr:row>
      <xdr:rowOff>230064</xdr:rowOff>
    </xdr:from>
    <xdr:to>
      <xdr:col>11</xdr:col>
      <xdr:colOff>580618</xdr:colOff>
      <xdr:row>59</xdr:row>
      <xdr:rowOff>4827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654051</xdr:colOff>
      <xdr:row>35</xdr:row>
      <xdr:rowOff>12700</xdr:rowOff>
    </xdr:from>
    <xdr:to>
      <xdr:col>22</xdr:col>
      <xdr:colOff>558801</xdr:colOff>
      <xdr:row>47</xdr:row>
      <xdr:rowOff>137787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495300</xdr:colOff>
      <xdr:row>0</xdr:row>
      <xdr:rowOff>0</xdr:rowOff>
    </xdr:from>
    <xdr:to>
      <xdr:col>17</xdr:col>
      <xdr:colOff>483998</xdr:colOff>
      <xdr:row>8</xdr:row>
      <xdr:rowOff>180180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241300</xdr:colOff>
      <xdr:row>0</xdr:row>
      <xdr:rowOff>0</xdr:rowOff>
    </xdr:from>
    <xdr:to>
      <xdr:col>25</xdr:col>
      <xdr:colOff>506210</xdr:colOff>
      <xdr:row>9</xdr:row>
      <xdr:rowOff>169530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203201</xdr:colOff>
      <xdr:row>10</xdr:row>
      <xdr:rowOff>38100</xdr:rowOff>
    </xdr:from>
    <xdr:to>
      <xdr:col>19</xdr:col>
      <xdr:colOff>228601</xdr:colOff>
      <xdr:row>23</xdr:row>
      <xdr:rowOff>12700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276225</xdr:colOff>
          <xdr:row>40</xdr:row>
          <xdr:rowOff>19050</xdr:rowOff>
        </xdr:from>
        <xdr:to>
          <xdr:col>28</xdr:col>
          <xdr:colOff>114300</xdr:colOff>
          <xdr:row>56</xdr:row>
          <xdr:rowOff>57150</xdr:rowOff>
        </xdr:to>
        <xdr:sp macro="" textlink="">
          <xdr:nvSpPr>
            <xdr:cNvPr id="32769" name="Object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D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133350</xdr:colOff>
      <xdr:row>42</xdr:row>
      <xdr:rowOff>96714</xdr:rowOff>
    </xdr:from>
    <xdr:to>
      <xdr:col>11</xdr:col>
      <xdr:colOff>637768</xdr:colOff>
      <xdr:row>70</xdr:row>
      <xdr:rowOff>71502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0</xdr:row>
      <xdr:rowOff>0</xdr:rowOff>
    </xdr:from>
    <xdr:to>
      <xdr:col>17</xdr:col>
      <xdr:colOff>483998</xdr:colOff>
      <xdr:row>8</xdr:row>
      <xdr:rowOff>180180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841376</xdr:colOff>
      <xdr:row>22</xdr:row>
      <xdr:rowOff>85725</xdr:rowOff>
    </xdr:from>
    <xdr:to>
      <xdr:col>28</xdr:col>
      <xdr:colOff>428626</xdr:colOff>
      <xdr:row>35</xdr:row>
      <xdr:rowOff>260350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675640</xdr:colOff>
      <xdr:row>0</xdr:row>
      <xdr:rowOff>0</xdr:rowOff>
    </xdr:from>
    <xdr:to>
      <xdr:col>25</xdr:col>
      <xdr:colOff>41390</xdr:colOff>
      <xdr:row>9</xdr:row>
      <xdr:rowOff>169530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19049</xdr:colOff>
      <xdr:row>0</xdr:row>
      <xdr:rowOff>0</xdr:rowOff>
    </xdr:from>
    <xdr:to>
      <xdr:col>34</xdr:col>
      <xdr:colOff>342772</xdr:colOff>
      <xdr:row>10</xdr:row>
      <xdr:rowOff>25072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679450</xdr:colOff>
      <xdr:row>0</xdr:row>
      <xdr:rowOff>0</xdr:rowOff>
    </xdr:from>
    <xdr:to>
      <xdr:col>28</xdr:col>
      <xdr:colOff>647700</xdr:colOff>
      <xdr:row>11</xdr:row>
      <xdr:rowOff>1598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520701</xdr:colOff>
      <xdr:row>0</xdr:row>
      <xdr:rowOff>0</xdr:rowOff>
    </xdr:from>
    <xdr:to>
      <xdr:col>40</xdr:col>
      <xdr:colOff>19051</xdr:colOff>
      <xdr:row>11</xdr:row>
      <xdr:rowOff>17137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85725</xdr:colOff>
      <xdr:row>43</xdr:row>
      <xdr:rowOff>95250</xdr:rowOff>
    </xdr:from>
    <xdr:to>
      <xdr:col>26</xdr:col>
      <xdr:colOff>550334</xdr:colOff>
      <xdr:row>71</xdr:row>
      <xdr:rowOff>175790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104775</xdr:colOff>
      <xdr:row>11</xdr:row>
      <xdr:rowOff>0</xdr:rowOff>
    </xdr:from>
    <xdr:to>
      <xdr:col>28</xdr:col>
      <xdr:colOff>682625</xdr:colOff>
      <xdr:row>29</xdr:row>
      <xdr:rowOff>88900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278606</xdr:colOff>
      <xdr:row>26</xdr:row>
      <xdr:rowOff>73820</xdr:rowOff>
    </xdr:from>
    <xdr:to>
      <xdr:col>31</xdr:col>
      <xdr:colOff>68262</xdr:colOff>
      <xdr:row>38</xdr:row>
      <xdr:rowOff>129382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485775</xdr:colOff>
      <xdr:row>16</xdr:row>
      <xdr:rowOff>85725</xdr:rowOff>
    </xdr:from>
    <xdr:to>
      <xdr:col>19</xdr:col>
      <xdr:colOff>520700</xdr:colOff>
      <xdr:row>32</xdr:row>
      <xdr:rowOff>117475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180975</xdr:colOff>
      <xdr:row>18</xdr:row>
      <xdr:rowOff>0</xdr:rowOff>
    </xdr:from>
    <xdr:to>
      <xdr:col>19</xdr:col>
      <xdr:colOff>215900</xdr:colOff>
      <xdr:row>33</xdr:row>
      <xdr:rowOff>98425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428627</xdr:colOff>
      <xdr:row>9</xdr:row>
      <xdr:rowOff>64293</xdr:rowOff>
    </xdr:from>
    <xdr:to>
      <xdr:col>21</xdr:col>
      <xdr:colOff>951707</xdr:colOff>
      <xdr:row>27</xdr:row>
      <xdr:rowOff>224631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207129</xdr:colOff>
      <xdr:row>37</xdr:row>
      <xdr:rowOff>19477</xdr:rowOff>
    </xdr:from>
    <xdr:to>
      <xdr:col>19</xdr:col>
      <xdr:colOff>471713</xdr:colOff>
      <xdr:row>64</xdr:row>
      <xdr:rowOff>61917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52546</xdr:colOff>
      <xdr:row>1</xdr:row>
      <xdr:rowOff>55563</xdr:rowOff>
    </xdr:from>
    <xdr:to>
      <xdr:col>19</xdr:col>
      <xdr:colOff>561296</xdr:colOff>
      <xdr:row>9</xdr:row>
      <xdr:rowOff>185405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8466</xdr:colOff>
      <xdr:row>2</xdr:row>
      <xdr:rowOff>42332</xdr:rowOff>
    </xdr:from>
    <xdr:to>
      <xdr:col>23</xdr:col>
      <xdr:colOff>109939</xdr:colOff>
      <xdr:row>10</xdr:row>
      <xdr:rowOff>257905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477043</xdr:colOff>
      <xdr:row>0</xdr:row>
      <xdr:rowOff>27780</xdr:rowOff>
    </xdr:from>
    <xdr:to>
      <xdr:col>27</xdr:col>
      <xdr:colOff>244210</xdr:colOff>
      <xdr:row>11</xdr:row>
      <xdr:rowOff>18796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668868</xdr:colOff>
      <xdr:row>0</xdr:row>
      <xdr:rowOff>0</xdr:rowOff>
    </xdr:from>
    <xdr:to>
      <xdr:col>36</xdr:col>
      <xdr:colOff>167218</xdr:colOff>
      <xdr:row>11</xdr:row>
      <xdr:rowOff>17137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175380</xdr:colOff>
      <xdr:row>10</xdr:row>
      <xdr:rowOff>220562</xdr:rowOff>
    </xdr:from>
    <xdr:to>
      <xdr:col>21</xdr:col>
      <xdr:colOff>291797</xdr:colOff>
      <xdr:row>32</xdr:row>
      <xdr:rowOff>178335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127000</xdr:colOff>
      <xdr:row>2</xdr:row>
      <xdr:rowOff>17196</xdr:rowOff>
    </xdr:from>
    <xdr:to>
      <xdr:col>31</xdr:col>
      <xdr:colOff>465666</xdr:colOff>
      <xdr:row>10</xdr:row>
      <xdr:rowOff>42333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224898</xdr:colOff>
      <xdr:row>12</xdr:row>
      <xdr:rowOff>82814</xdr:rowOff>
    </xdr:from>
    <xdr:to>
      <xdr:col>19</xdr:col>
      <xdr:colOff>265115</xdr:colOff>
      <xdr:row>30</xdr:row>
      <xdr:rowOff>69850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211933</xdr:colOff>
      <xdr:row>19</xdr:row>
      <xdr:rowOff>79375</xdr:rowOff>
    </xdr:from>
    <xdr:to>
      <xdr:col>19</xdr:col>
      <xdr:colOff>257970</xdr:colOff>
      <xdr:row>34</xdr:row>
      <xdr:rowOff>217223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43797</xdr:rowOff>
    </xdr:from>
    <xdr:to>
      <xdr:col>11</xdr:col>
      <xdr:colOff>356251</xdr:colOff>
      <xdr:row>68</xdr:row>
      <xdr:rowOff>18585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75142</xdr:colOff>
      <xdr:row>41</xdr:row>
      <xdr:rowOff>127000</xdr:rowOff>
    </xdr:from>
    <xdr:to>
      <xdr:col>18</xdr:col>
      <xdr:colOff>52918</xdr:colOff>
      <xdr:row>70</xdr:row>
      <xdr:rowOff>17040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283368</xdr:colOff>
      <xdr:row>17</xdr:row>
      <xdr:rowOff>44714</xdr:rowOff>
    </xdr:from>
    <xdr:to>
      <xdr:col>19</xdr:col>
      <xdr:colOff>324909</xdr:colOff>
      <xdr:row>32</xdr:row>
      <xdr:rowOff>282839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862542</xdr:colOff>
      <xdr:row>16</xdr:row>
      <xdr:rowOff>112185</xdr:rowOff>
    </xdr:from>
    <xdr:to>
      <xdr:col>28</xdr:col>
      <xdr:colOff>444500</xdr:colOff>
      <xdr:row>31</xdr:row>
      <xdr:rowOff>75142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454819</xdr:colOff>
      <xdr:row>13</xdr:row>
      <xdr:rowOff>199760</xdr:rowOff>
    </xdr:from>
    <xdr:to>
      <xdr:col>28</xdr:col>
      <xdr:colOff>62443</xdr:colOff>
      <xdr:row>30</xdr:row>
      <xdr:rowOff>250560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617271</xdr:colOff>
      <xdr:row>16</xdr:row>
      <xdr:rowOff>84407</xdr:rowOff>
    </xdr:from>
    <xdr:to>
      <xdr:col>19</xdr:col>
      <xdr:colOff>639761</xdr:colOff>
      <xdr:row>31</xdr:row>
      <xdr:rowOff>108218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23</xdr:row>
      <xdr:rowOff>171450</xdr:rowOff>
    </xdr:from>
    <xdr:to>
      <xdr:col>17</xdr:col>
      <xdr:colOff>19050</xdr:colOff>
      <xdr:row>34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4143375"/>
          <a:ext cx="613410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161925</xdr:colOff>
      <xdr:row>22</xdr:row>
      <xdr:rowOff>85725</xdr:rowOff>
    </xdr:from>
    <xdr:to>
      <xdr:col>8</xdr:col>
      <xdr:colOff>184785</xdr:colOff>
      <xdr:row>38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590550</xdr:colOff>
          <xdr:row>0</xdr:row>
          <xdr:rowOff>66675</xdr:rowOff>
        </xdr:from>
        <xdr:to>
          <xdr:col>28</xdr:col>
          <xdr:colOff>85725</xdr:colOff>
          <xdr:row>24</xdr:row>
          <xdr:rowOff>66675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F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355599</xdr:colOff>
      <xdr:row>18</xdr:row>
      <xdr:rowOff>69848</xdr:rowOff>
    </xdr:from>
    <xdr:to>
      <xdr:col>33</xdr:col>
      <xdr:colOff>353289</xdr:colOff>
      <xdr:row>47</xdr:row>
      <xdr:rowOff>297871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12</xdr:col>
      <xdr:colOff>289560</xdr:colOff>
      <xdr:row>41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18</xdr:col>
      <xdr:colOff>784860</xdr:colOff>
      <xdr:row>21</xdr:row>
      <xdr:rowOff>129540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126</xdr:row>
      <xdr:rowOff>0</xdr:rowOff>
    </xdr:from>
    <xdr:to>
      <xdr:col>11</xdr:col>
      <xdr:colOff>609600</xdr:colOff>
      <xdr:row>141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70</xdr:row>
      <xdr:rowOff>0</xdr:rowOff>
    </xdr:from>
    <xdr:to>
      <xdr:col>28</xdr:col>
      <xdr:colOff>784860</xdr:colOff>
      <xdr:row>90</xdr:row>
      <xdr:rowOff>33943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594360</xdr:colOff>
      <xdr:row>1</xdr:row>
      <xdr:rowOff>91440</xdr:rowOff>
    </xdr:from>
    <xdr:to>
      <xdr:col>29</xdr:col>
      <xdr:colOff>656953</xdr:colOff>
      <xdr:row>21</xdr:row>
      <xdr:rowOff>7620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27</xdr:row>
      <xdr:rowOff>0</xdr:rowOff>
    </xdr:from>
    <xdr:to>
      <xdr:col>34</xdr:col>
      <xdr:colOff>784860</xdr:colOff>
      <xdr:row>47</xdr:row>
      <xdr:rowOff>38100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91</xdr:row>
      <xdr:rowOff>121920</xdr:rowOff>
    </xdr:from>
    <xdr:to>
      <xdr:col>29</xdr:col>
      <xdr:colOff>304800</xdr:colOff>
      <xdr:row>113</xdr:row>
      <xdr:rowOff>60960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114</xdr:row>
      <xdr:rowOff>0</xdr:rowOff>
    </xdr:from>
    <xdr:to>
      <xdr:col>29</xdr:col>
      <xdr:colOff>655320</xdr:colOff>
      <xdr:row>139</xdr:row>
      <xdr:rowOff>15240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548640</xdr:colOff>
      <xdr:row>98</xdr:row>
      <xdr:rowOff>121920</xdr:rowOff>
    </xdr:from>
    <xdr:to>
      <xdr:col>36</xdr:col>
      <xdr:colOff>609600</xdr:colOff>
      <xdr:row>116</xdr:row>
      <xdr:rowOff>30480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0</xdr:colOff>
      <xdr:row>121</xdr:row>
      <xdr:rowOff>0</xdr:rowOff>
    </xdr:from>
    <xdr:to>
      <xdr:col>40</xdr:col>
      <xdr:colOff>289560</xdr:colOff>
      <xdr:row>139</xdr:row>
      <xdr:rowOff>167640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3</xdr:row>
      <xdr:rowOff>0</xdr:rowOff>
    </xdr:from>
    <xdr:to>
      <xdr:col>41</xdr:col>
      <xdr:colOff>609600</xdr:colOff>
      <xdr:row>27</xdr:row>
      <xdr:rowOff>152400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0</xdr:colOff>
      <xdr:row>32</xdr:row>
      <xdr:rowOff>0</xdr:rowOff>
    </xdr:from>
    <xdr:to>
      <xdr:col>48</xdr:col>
      <xdr:colOff>419100</xdr:colOff>
      <xdr:row>54</xdr:row>
      <xdr:rowOff>160020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34</xdr:col>
      <xdr:colOff>784860</xdr:colOff>
      <xdr:row>69</xdr:row>
      <xdr:rowOff>33943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213360</xdr:colOff>
      <xdr:row>23</xdr:row>
      <xdr:rowOff>60960</xdr:rowOff>
    </xdr:from>
    <xdr:to>
      <xdr:col>23</xdr:col>
      <xdr:colOff>205740</xdr:colOff>
      <xdr:row>45</xdr:row>
      <xdr:rowOff>117070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85</xdr:row>
      <xdr:rowOff>0</xdr:rowOff>
    </xdr:from>
    <xdr:to>
      <xdr:col>10</xdr:col>
      <xdr:colOff>784860</xdr:colOff>
      <xdr:row>113</xdr:row>
      <xdr:rowOff>46412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17</xdr:col>
      <xdr:colOff>419100</xdr:colOff>
      <xdr:row>90</xdr:row>
      <xdr:rowOff>91440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127000</xdr:colOff>
      <xdr:row>4</xdr:row>
      <xdr:rowOff>190501</xdr:rowOff>
    </xdr:from>
    <xdr:to>
      <xdr:col>27</xdr:col>
      <xdr:colOff>328700</xdr:colOff>
      <xdr:row>26</xdr:row>
      <xdr:rowOff>31751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296334</xdr:colOff>
      <xdr:row>7</xdr:row>
      <xdr:rowOff>42333</xdr:rowOff>
    </xdr:from>
    <xdr:to>
      <xdr:col>27</xdr:col>
      <xdr:colOff>498034</xdr:colOff>
      <xdr:row>28</xdr:row>
      <xdr:rowOff>74083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740834</xdr:colOff>
      <xdr:row>9</xdr:row>
      <xdr:rowOff>10583</xdr:rowOff>
    </xdr:from>
    <xdr:to>
      <xdr:col>27</xdr:col>
      <xdr:colOff>148784</xdr:colOff>
      <xdr:row>30</xdr:row>
      <xdr:rowOff>42333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603250</xdr:colOff>
      <xdr:row>30</xdr:row>
      <xdr:rowOff>127000</xdr:rowOff>
    </xdr:from>
    <xdr:to>
      <xdr:col>27</xdr:col>
      <xdr:colOff>11200</xdr:colOff>
      <xdr:row>51</xdr:row>
      <xdr:rowOff>179917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772584</xdr:colOff>
      <xdr:row>38</xdr:row>
      <xdr:rowOff>42334</xdr:rowOff>
    </xdr:from>
    <xdr:to>
      <xdr:col>27</xdr:col>
      <xdr:colOff>180534</xdr:colOff>
      <xdr:row>59</xdr:row>
      <xdr:rowOff>116417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52917</xdr:colOff>
      <xdr:row>55</xdr:row>
      <xdr:rowOff>63500</xdr:rowOff>
    </xdr:from>
    <xdr:to>
      <xdr:col>27</xdr:col>
      <xdr:colOff>254617</xdr:colOff>
      <xdr:row>76</xdr:row>
      <xdr:rowOff>116417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21167</xdr:colOff>
      <xdr:row>68</xdr:row>
      <xdr:rowOff>179916</xdr:rowOff>
    </xdr:from>
    <xdr:to>
      <xdr:col>27</xdr:col>
      <xdr:colOff>222867</xdr:colOff>
      <xdr:row>90</xdr:row>
      <xdr:rowOff>42333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656167</xdr:colOff>
      <xdr:row>73</xdr:row>
      <xdr:rowOff>179917</xdr:rowOff>
    </xdr:from>
    <xdr:to>
      <xdr:col>27</xdr:col>
      <xdr:colOff>64117</xdr:colOff>
      <xdr:row>95</xdr:row>
      <xdr:rowOff>42333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98</xdr:row>
      <xdr:rowOff>0</xdr:rowOff>
    </xdr:from>
    <xdr:to>
      <xdr:col>27</xdr:col>
      <xdr:colOff>201700</xdr:colOff>
      <xdr:row>119</xdr:row>
      <xdr:rowOff>52917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635000</xdr:colOff>
      <xdr:row>104</xdr:row>
      <xdr:rowOff>52917</xdr:rowOff>
    </xdr:from>
    <xdr:to>
      <xdr:col>27</xdr:col>
      <xdr:colOff>42950</xdr:colOff>
      <xdr:row>125</xdr:row>
      <xdr:rowOff>116417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285750</xdr:colOff>
      <xdr:row>120</xdr:row>
      <xdr:rowOff>169334</xdr:rowOff>
    </xdr:from>
    <xdr:to>
      <xdr:col>27</xdr:col>
      <xdr:colOff>487450</xdr:colOff>
      <xdr:row>142</xdr:row>
      <xdr:rowOff>31751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740832</xdr:colOff>
      <xdr:row>1</xdr:row>
      <xdr:rowOff>161017</xdr:rowOff>
    </xdr:from>
    <xdr:to>
      <xdr:col>28</xdr:col>
      <xdr:colOff>603249</xdr:colOff>
      <xdr:row>23</xdr:row>
      <xdr:rowOff>84666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148167</xdr:colOff>
      <xdr:row>130</xdr:row>
      <xdr:rowOff>42333</xdr:rowOff>
    </xdr:from>
    <xdr:to>
      <xdr:col>27</xdr:col>
      <xdr:colOff>349867</xdr:colOff>
      <xdr:row>151</xdr:row>
      <xdr:rowOff>95250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687917</xdr:colOff>
      <xdr:row>142</xdr:row>
      <xdr:rowOff>63500</xdr:rowOff>
    </xdr:from>
    <xdr:to>
      <xdr:col>27</xdr:col>
      <xdr:colOff>95867</xdr:colOff>
      <xdr:row>163</xdr:row>
      <xdr:rowOff>116416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508000</xdr:colOff>
      <xdr:row>155</xdr:row>
      <xdr:rowOff>105833</xdr:rowOff>
    </xdr:from>
    <xdr:to>
      <xdr:col>26</xdr:col>
      <xdr:colOff>677950</xdr:colOff>
      <xdr:row>176</xdr:row>
      <xdr:rowOff>158750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666750</xdr:colOff>
      <xdr:row>172</xdr:row>
      <xdr:rowOff>179917</xdr:rowOff>
    </xdr:from>
    <xdr:to>
      <xdr:col>27</xdr:col>
      <xdr:colOff>74700</xdr:colOff>
      <xdr:row>194</xdr:row>
      <xdr:rowOff>137583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b\RESULTADOS%20AGUA%20DRENADA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2"/>
      <sheetName val="GRAFICOS- MARZO2022"/>
      <sheetName val="ABRIL 2022"/>
      <sheetName val="MAYO"/>
      <sheetName val="JUNIO"/>
      <sheetName val="JULIO"/>
      <sheetName val="AGOSTO"/>
      <sheetName val="SETIEMBRE"/>
      <sheetName val="OCTUBRE"/>
      <sheetName val="NOVIEMBRE"/>
      <sheetName val="DICIEMBRE"/>
      <sheetName val="microbiologia"/>
      <sheetName val="ABRIL VS MARZO"/>
      <sheetName val="TOLERABCIA DE CULTIVOS ACONDUT"/>
      <sheetName val="graficos abril vs marzo"/>
      <sheetName val="PARAMETROS FISICOS"/>
      <sheetName val="PARAMETROS QUIMICOS  "/>
      <sheetName val="Hoja1"/>
    </sheetNames>
    <sheetDataSet>
      <sheetData sheetId="0">
        <row r="30">
          <cell r="O30" t="str">
            <v>Dren Bitín</v>
          </cell>
          <cell r="P30" t="str">
            <v>Dren DV-4.3</v>
          </cell>
          <cell r="Q30" t="str">
            <v>Dren DV-4.0 (1)</v>
          </cell>
          <cell r="R30" t="str">
            <v>Dren DV-4.0 (2)</v>
          </cell>
          <cell r="S30" t="str">
            <v>Dren DV-4.0 (3)</v>
          </cell>
          <cell r="T30" t="str">
            <v>Canal Madre</v>
          </cell>
          <cell r="U30" t="str">
            <v>Central Hidroeléctrica Virú San José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8">
          <cell r="F28" t="str">
            <v>Dren Bitín</v>
          </cell>
          <cell r="G28" t="str">
            <v>Dren DV-4.3</v>
          </cell>
          <cell r="H28" t="str">
            <v>Dren DV-4.0 (1)</v>
          </cell>
          <cell r="I28" t="str">
            <v>Dren DV-4.0 (2)</v>
          </cell>
          <cell r="J28" t="str">
            <v>Dren DV-4.0 (3)</v>
          </cell>
          <cell r="K28" t="str">
            <v>Canal Madre</v>
          </cell>
          <cell r="L28" t="str">
            <v>Central Hidroeléctrica Virú San José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51"/>
  <sheetViews>
    <sheetView showGridLines="0" view="pageBreakPreview" zoomScale="10" zoomScaleNormal="140" zoomScaleSheetLayoutView="10" workbookViewId="0">
      <selection activeCell="V49" sqref="V49"/>
    </sheetView>
  </sheetViews>
  <sheetFormatPr baseColWidth="10" defaultRowHeight="15" x14ac:dyDescent="0.25"/>
  <cols>
    <col min="2" max="2" width="4.85546875" customWidth="1"/>
    <col min="3" max="3" width="3.28515625" customWidth="1"/>
    <col min="4" max="4" width="12.7109375" customWidth="1"/>
    <col min="5" max="5" width="30.5703125" customWidth="1"/>
    <col min="6" max="6" width="8.140625" customWidth="1"/>
    <col min="7" max="7" width="8" customWidth="1"/>
    <col min="8" max="8" width="14" bestFit="1" customWidth="1"/>
    <col min="9" max="9" width="5.5703125" customWidth="1"/>
    <col min="10" max="10" width="7.5703125" bestFit="1" customWidth="1"/>
    <col min="11" max="11" width="15.7109375" customWidth="1"/>
    <col min="12" max="13" width="8.42578125" customWidth="1"/>
    <col min="14" max="14" width="8.5703125" customWidth="1"/>
    <col min="15" max="15" width="6.85546875" customWidth="1"/>
    <col min="16" max="16" width="9.5703125" customWidth="1"/>
    <col min="17" max="17" width="12.140625" bestFit="1" customWidth="1"/>
    <col min="18" max="18" width="12.5703125" customWidth="1"/>
    <col min="19" max="19" width="13.28515625" customWidth="1"/>
    <col min="20" max="20" width="16" customWidth="1"/>
    <col min="21" max="21" width="17.140625" bestFit="1" customWidth="1"/>
    <col min="23" max="23" width="15.7109375" customWidth="1"/>
    <col min="24" max="25" width="8.42578125" customWidth="1"/>
    <col min="26" max="26" width="8.5703125" customWidth="1"/>
    <col min="27" max="27" width="6.85546875" customWidth="1"/>
    <col min="28" max="28" width="9.5703125" customWidth="1"/>
    <col min="29" max="29" width="12.140625" bestFit="1" customWidth="1"/>
    <col min="30" max="30" width="12.5703125" customWidth="1"/>
    <col min="31" max="31" width="13.28515625" customWidth="1"/>
    <col min="32" max="32" width="16" customWidth="1"/>
    <col min="33" max="33" width="17.140625" bestFit="1" customWidth="1"/>
  </cols>
  <sheetData>
    <row r="1" spans="2:33" ht="15.75" thickBot="1" x14ac:dyDescent="0.3"/>
    <row r="2" spans="2:33" ht="50.25" customHeight="1" thickBot="1" x14ac:dyDescent="0.3">
      <c r="B2" s="401" t="s">
        <v>26</v>
      </c>
      <c r="C2" s="402"/>
      <c r="D2" s="403"/>
      <c r="E2" s="403"/>
      <c r="F2" s="403"/>
      <c r="G2" s="403"/>
      <c r="H2" s="403"/>
      <c r="I2" s="404"/>
      <c r="J2" s="6"/>
      <c r="L2" s="390"/>
      <c r="M2" s="391"/>
      <c r="N2" s="391"/>
      <c r="O2" s="391"/>
      <c r="P2" s="391"/>
      <c r="Q2" s="391"/>
      <c r="R2" s="391"/>
      <c r="S2" s="391"/>
      <c r="T2" s="391"/>
      <c r="U2" s="391"/>
      <c r="X2" s="390"/>
      <c r="Y2" s="391"/>
      <c r="Z2" s="391"/>
      <c r="AA2" s="391"/>
      <c r="AB2" s="391"/>
      <c r="AC2" s="391"/>
      <c r="AD2" s="391"/>
      <c r="AE2" s="391"/>
      <c r="AF2" s="391"/>
      <c r="AG2" s="391"/>
    </row>
    <row r="3" spans="2:33" ht="2.25" customHeight="1" thickBot="1" x14ac:dyDescent="0.3"/>
    <row r="4" spans="2:33" ht="28.5" customHeight="1" thickBot="1" x14ac:dyDescent="0.3">
      <c r="B4" s="399" t="s">
        <v>0</v>
      </c>
      <c r="D4" s="399" t="s">
        <v>1</v>
      </c>
      <c r="E4" s="399" t="s">
        <v>2</v>
      </c>
      <c r="F4" s="405" t="s">
        <v>3</v>
      </c>
      <c r="G4" s="406"/>
      <c r="H4" s="399" t="s">
        <v>20</v>
      </c>
      <c r="I4" s="399" t="s">
        <v>4</v>
      </c>
      <c r="J4" s="7"/>
      <c r="L4" s="392"/>
      <c r="M4" s="16"/>
      <c r="N4" s="392"/>
      <c r="O4" s="392"/>
      <c r="P4" s="392"/>
      <c r="Q4" s="394"/>
      <c r="R4" s="10"/>
      <c r="S4" s="392"/>
      <c r="T4" s="10"/>
      <c r="U4" s="392"/>
      <c r="X4" s="392"/>
      <c r="Y4" s="16"/>
      <c r="Z4" s="392"/>
      <c r="AA4" s="392"/>
      <c r="AB4" s="392"/>
      <c r="AC4" s="394"/>
      <c r="AD4" s="10"/>
      <c r="AE4" s="392"/>
      <c r="AF4" s="10"/>
      <c r="AG4" s="392"/>
    </row>
    <row r="5" spans="2:33" ht="15.75" thickBot="1" x14ac:dyDescent="0.3">
      <c r="B5" s="400"/>
      <c r="D5" s="400"/>
      <c r="E5" s="400"/>
      <c r="F5" s="2" t="s">
        <v>5</v>
      </c>
      <c r="G5" s="2" t="s">
        <v>6</v>
      </c>
      <c r="H5" s="400"/>
      <c r="I5" s="400"/>
      <c r="J5" s="7"/>
      <c r="L5" s="393"/>
      <c r="M5" s="17"/>
      <c r="N5" s="393"/>
      <c r="O5" s="393"/>
      <c r="P5" s="393"/>
      <c r="Q5" s="395"/>
      <c r="R5" s="11"/>
      <c r="S5" s="393"/>
      <c r="T5" s="10"/>
      <c r="U5" s="393"/>
      <c r="X5" s="393"/>
      <c r="Y5" s="17"/>
      <c r="Z5" s="393"/>
      <c r="AA5" s="393"/>
      <c r="AB5" s="393"/>
      <c r="AC5" s="395"/>
      <c r="AD5" s="11"/>
      <c r="AE5" s="393"/>
      <c r="AF5" s="10"/>
      <c r="AG5" s="393"/>
    </row>
    <row r="6" spans="2:33" ht="1.5" customHeight="1" thickBot="1" x14ac:dyDescent="0.3">
      <c r="B6" s="1"/>
      <c r="D6" s="1"/>
      <c r="E6" s="1"/>
      <c r="F6" s="1"/>
      <c r="G6" s="1"/>
      <c r="H6" s="1"/>
      <c r="I6" s="1"/>
      <c r="J6" s="1"/>
    </row>
    <row r="7" spans="2:33" ht="24.75" thickBot="1" x14ac:dyDescent="0.3">
      <c r="B7" s="3">
        <v>1</v>
      </c>
      <c r="D7" s="4" t="s">
        <v>7</v>
      </c>
      <c r="E7" s="4" t="s">
        <v>8</v>
      </c>
      <c r="F7" s="4">
        <v>747457</v>
      </c>
      <c r="G7" s="4">
        <v>9066203</v>
      </c>
      <c r="H7" s="4">
        <v>72</v>
      </c>
      <c r="I7" s="4" t="s">
        <v>9</v>
      </c>
      <c r="J7" s="8"/>
      <c r="L7" s="12"/>
      <c r="M7" s="12"/>
      <c r="N7" s="12"/>
      <c r="O7" s="12"/>
      <c r="P7" s="12"/>
      <c r="Q7" s="12"/>
      <c r="R7" s="12"/>
      <c r="S7" s="12"/>
      <c r="T7" s="12"/>
      <c r="U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2:33" ht="24.75" thickBot="1" x14ac:dyDescent="0.3">
      <c r="B8" s="4">
        <v>2</v>
      </c>
      <c r="D8" s="4" t="s">
        <v>10</v>
      </c>
      <c r="E8" s="4" t="s">
        <v>11</v>
      </c>
      <c r="F8" s="4">
        <v>747398</v>
      </c>
      <c r="G8" s="4">
        <v>9066295</v>
      </c>
      <c r="H8" s="4">
        <v>73</v>
      </c>
      <c r="I8" s="4" t="s">
        <v>9</v>
      </c>
      <c r="J8" s="8"/>
      <c r="L8" s="12"/>
      <c r="M8" s="12"/>
      <c r="N8" s="12"/>
      <c r="O8" s="12"/>
      <c r="P8" s="12"/>
      <c r="Q8" s="12"/>
      <c r="R8" s="12"/>
      <c r="S8" s="12"/>
      <c r="T8" s="12"/>
      <c r="U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2:33" ht="24.75" thickBot="1" x14ac:dyDescent="0.3">
      <c r="B9" s="5">
        <v>3</v>
      </c>
      <c r="D9" s="5" t="s">
        <v>12</v>
      </c>
      <c r="E9" s="5" t="s">
        <v>13</v>
      </c>
      <c r="F9" s="5">
        <v>747195</v>
      </c>
      <c r="G9" s="5">
        <v>9066038</v>
      </c>
      <c r="H9" s="5">
        <v>71</v>
      </c>
      <c r="I9" s="5" t="s">
        <v>9</v>
      </c>
      <c r="J9" s="9"/>
      <c r="L9" s="13"/>
      <c r="M9" s="13"/>
      <c r="N9" s="12"/>
      <c r="O9" s="12"/>
      <c r="P9" s="12"/>
      <c r="Q9" s="12"/>
      <c r="R9" s="12"/>
      <c r="S9" s="12"/>
      <c r="T9" s="12"/>
      <c r="U9" s="12"/>
      <c r="X9" s="13"/>
      <c r="Y9" s="13"/>
      <c r="Z9" s="12"/>
      <c r="AA9" s="12"/>
      <c r="AB9" s="12"/>
      <c r="AC9" s="12"/>
      <c r="AD9" s="12"/>
      <c r="AE9" s="12"/>
      <c r="AF9" s="12"/>
      <c r="AG9" s="12"/>
    </row>
    <row r="10" spans="2:33" ht="24.75" thickBot="1" x14ac:dyDescent="0.3">
      <c r="B10" s="4">
        <v>4</v>
      </c>
      <c r="D10" s="4" t="s">
        <v>14</v>
      </c>
      <c r="E10" s="4" t="s">
        <v>15</v>
      </c>
      <c r="F10" s="4">
        <v>744362</v>
      </c>
      <c r="G10" s="4">
        <v>9064878</v>
      </c>
      <c r="H10" s="4">
        <v>62</v>
      </c>
      <c r="I10" s="4" t="s">
        <v>9</v>
      </c>
      <c r="J10" s="8"/>
      <c r="L10" s="12"/>
      <c r="M10" s="12"/>
      <c r="N10" s="12"/>
      <c r="O10" s="12"/>
      <c r="P10" s="12"/>
      <c r="Q10" s="12"/>
      <c r="R10" s="12"/>
      <c r="S10" s="12"/>
      <c r="T10" s="12"/>
      <c r="U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2:33" ht="36.75" thickBot="1" x14ac:dyDescent="0.3">
      <c r="B11" s="4">
        <v>5</v>
      </c>
      <c r="D11" s="4" t="s">
        <v>16</v>
      </c>
      <c r="E11" s="4" t="s">
        <v>21</v>
      </c>
      <c r="F11" s="4">
        <v>740100</v>
      </c>
      <c r="G11" s="4">
        <v>9065601</v>
      </c>
      <c r="H11" s="4">
        <v>43</v>
      </c>
      <c r="I11" s="4" t="s">
        <v>9</v>
      </c>
      <c r="J11" s="8"/>
      <c r="L11" s="12"/>
      <c r="M11" s="12"/>
      <c r="N11" s="12"/>
      <c r="O11" s="12"/>
      <c r="P11" s="12"/>
      <c r="Q11" s="12"/>
      <c r="R11" s="12"/>
      <c r="S11" s="12"/>
      <c r="T11" s="12"/>
      <c r="U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2:33" ht="24.75" thickBot="1" x14ac:dyDescent="0.3">
      <c r="B12" s="4">
        <v>6</v>
      </c>
      <c r="D12" s="4" t="s">
        <v>17</v>
      </c>
      <c r="E12" s="4" t="s">
        <v>18</v>
      </c>
      <c r="F12" s="4">
        <v>751514</v>
      </c>
      <c r="G12" s="4">
        <v>9068745</v>
      </c>
      <c r="H12" s="4">
        <v>233</v>
      </c>
      <c r="I12" s="4" t="s">
        <v>9</v>
      </c>
      <c r="J12" s="8"/>
      <c r="L12" s="12"/>
      <c r="M12" s="12"/>
      <c r="N12" s="12"/>
      <c r="O12" s="12"/>
      <c r="P12" s="12"/>
      <c r="Q12" s="12"/>
      <c r="R12" s="12"/>
      <c r="S12" s="12"/>
      <c r="T12" s="12"/>
      <c r="U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2:33" ht="24.75" thickBot="1" x14ac:dyDescent="0.3">
      <c r="B13" s="4">
        <v>7</v>
      </c>
      <c r="D13" s="4" t="s">
        <v>22</v>
      </c>
      <c r="E13" s="4" t="s">
        <v>19</v>
      </c>
      <c r="F13" s="4">
        <v>750739</v>
      </c>
      <c r="G13" s="4">
        <v>9069573</v>
      </c>
      <c r="H13" s="4">
        <v>119</v>
      </c>
      <c r="I13" s="4" t="s">
        <v>9</v>
      </c>
      <c r="J13" s="8"/>
      <c r="L13" s="12"/>
      <c r="M13" s="12"/>
      <c r="N13" s="12"/>
      <c r="O13" s="12"/>
      <c r="P13" s="12"/>
      <c r="Q13" s="12"/>
      <c r="R13" s="12"/>
      <c r="S13" s="12"/>
      <c r="T13" s="12"/>
      <c r="U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2:33" ht="6" customHeight="1" x14ac:dyDescent="0.25"/>
    <row r="15" spans="2:33" ht="6" customHeight="1" x14ac:dyDescent="0.25"/>
    <row r="17" spans="11:33" ht="31.5" customHeight="1" x14ac:dyDescent="0.25">
      <c r="K17" s="397"/>
      <c r="L17" s="398"/>
      <c r="M17" s="398"/>
      <c r="N17" s="398"/>
      <c r="O17" s="398"/>
      <c r="P17" s="398"/>
      <c r="Q17" s="398"/>
      <c r="R17" s="398"/>
      <c r="S17" s="398"/>
      <c r="T17" s="398"/>
      <c r="U17" s="398"/>
      <c r="W17" s="387" t="s">
        <v>70</v>
      </c>
      <c r="X17" s="388"/>
      <c r="Y17" s="388"/>
      <c r="Z17" s="388"/>
      <c r="AA17" s="388"/>
      <c r="AB17" s="388"/>
      <c r="AC17" s="388"/>
      <c r="AD17" s="388"/>
      <c r="AE17" s="388"/>
      <c r="AF17" s="388"/>
      <c r="AG17" s="388"/>
    </row>
    <row r="18" spans="11:33" ht="2.25" customHeight="1" thickBot="1" x14ac:dyDescent="0.3"/>
    <row r="19" spans="11:33" ht="24.75" customHeight="1" thickBot="1" x14ac:dyDescent="0.3">
      <c r="K19" s="394"/>
      <c r="L19" s="394"/>
      <c r="M19" s="396"/>
      <c r="N19" s="396"/>
      <c r="O19" s="385"/>
      <c r="P19" s="385"/>
      <c r="Q19" s="385"/>
      <c r="R19" s="385"/>
      <c r="S19" s="385"/>
      <c r="T19" s="385"/>
      <c r="U19" s="385"/>
      <c r="W19" s="381" t="s">
        <v>34</v>
      </c>
      <c r="X19" s="381" t="s">
        <v>35</v>
      </c>
      <c r="Y19" s="389" t="s">
        <v>33</v>
      </c>
      <c r="Z19" s="389"/>
      <c r="AA19" s="379" t="s">
        <v>27</v>
      </c>
      <c r="AB19" s="379" t="s">
        <v>28</v>
      </c>
      <c r="AC19" s="379" t="s">
        <v>29</v>
      </c>
      <c r="AD19" s="379" t="s">
        <v>30</v>
      </c>
      <c r="AE19" s="379" t="s">
        <v>31</v>
      </c>
      <c r="AF19" s="379" t="s">
        <v>25</v>
      </c>
      <c r="AG19" s="379" t="s">
        <v>32</v>
      </c>
    </row>
    <row r="20" spans="11:33" ht="24.75" customHeight="1" thickBot="1" x14ac:dyDescent="0.3">
      <c r="K20" s="395"/>
      <c r="L20" s="395"/>
      <c r="M20" s="20"/>
      <c r="N20" s="21"/>
      <c r="O20" s="386"/>
      <c r="P20" s="386"/>
      <c r="Q20" s="386"/>
      <c r="R20" s="386"/>
      <c r="S20" s="386"/>
      <c r="T20" s="386"/>
      <c r="U20" s="386"/>
      <c r="W20" s="382"/>
      <c r="X20" s="382"/>
      <c r="Y20" s="19" t="s">
        <v>60</v>
      </c>
      <c r="Z20" s="18" t="s">
        <v>61</v>
      </c>
      <c r="AA20" s="380"/>
      <c r="AB20" s="380"/>
      <c r="AC20" s="380"/>
      <c r="AD20" s="380"/>
      <c r="AE20" s="380"/>
      <c r="AF20" s="380"/>
      <c r="AG20" s="380"/>
    </row>
    <row r="21" spans="11:33" ht="3" customHeight="1" thickBot="1" x14ac:dyDescent="0.3"/>
    <row r="22" spans="11:33" ht="24.75" thickBot="1" x14ac:dyDescent="0.3"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4" t="s">
        <v>41</v>
      </c>
      <c r="X22" s="4" t="s">
        <v>64</v>
      </c>
      <c r="Y22" s="4" t="s">
        <v>62</v>
      </c>
      <c r="Z22" s="4" t="s">
        <v>63</v>
      </c>
      <c r="AA22" s="4"/>
      <c r="AB22" s="4"/>
      <c r="AC22" s="4"/>
      <c r="AD22" s="4"/>
      <c r="AE22" s="4"/>
      <c r="AF22" s="4"/>
      <c r="AG22" s="4"/>
    </row>
    <row r="23" spans="11:33" ht="15.75" thickBot="1" x14ac:dyDescent="0.3">
      <c r="K23" s="12"/>
      <c r="L23" s="22"/>
      <c r="M23" s="22"/>
      <c r="N23" s="12"/>
      <c r="O23" s="12"/>
      <c r="P23" s="12"/>
      <c r="Q23" s="12"/>
      <c r="R23" s="12"/>
      <c r="S23" s="12"/>
      <c r="T23" s="12"/>
      <c r="U23" s="12"/>
      <c r="W23" s="4" t="s">
        <v>23</v>
      </c>
      <c r="X23" s="14" t="s">
        <v>37</v>
      </c>
      <c r="Y23" s="14" t="s">
        <v>65</v>
      </c>
      <c r="Z23" s="4" t="s">
        <v>66</v>
      </c>
      <c r="AA23" s="4"/>
      <c r="AB23" s="4"/>
      <c r="AC23" s="4"/>
      <c r="AD23" s="4"/>
      <c r="AE23" s="4"/>
      <c r="AF23" s="4"/>
      <c r="AG23" s="4"/>
    </row>
    <row r="24" spans="11:33" ht="24.75" thickBot="1" x14ac:dyDescent="0.3">
      <c r="K24" s="12"/>
      <c r="L24" s="12"/>
      <c r="M24" s="22"/>
      <c r="N24" s="22"/>
      <c r="O24" s="12"/>
      <c r="P24" s="12"/>
      <c r="Q24" s="12"/>
      <c r="R24" s="12"/>
      <c r="S24" s="12"/>
      <c r="T24" s="12"/>
      <c r="U24" s="12"/>
      <c r="W24" s="4" t="s">
        <v>38</v>
      </c>
      <c r="X24" s="4" t="s">
        <v>24</v>
      </c>
      <c r="Y24" s="14" t="s">
        <v>37</v>
      </c>
      <c r="Z24" s="14" t="s">
        <v>37</v>
      </c>
      <c r="AA24" s="4"/>
      <c r="AB24" s="4"/>
      <c r="AC24" s="4"/>
      <c r="AD24" s="4"/>
      <c r="AE24" s="4"/>
      <c r="AF24" s="4"/>
      <c r="AG24" s="4"/>
    </row>
    <row r="25" spans="11:33" ht="15.75" thickBot="1" x14ac:dyDescent="0.3">
      <c r="K25" s="12"/>
      <c r="L25" s="12"/>
      <c r="M25" s="22"/>
      <c r="N25" s="22"/>
      <c r="O25" s="12"/>
      <c r="P25" s="12"/>
      <c r="Q25" s="12"/>
      <c r="R25" s="12"/>
      <c r="S25" s="12"/>
      <c r="T25" s="12"/>
      <c r="U25" s="12"/>
      <c r="W25" s="4" t="s">
        <v>39</v>
      </c>
      <c r="X25" s="4" t="s">
        <v>40</v>
      </c>
      <c r="Y25" s="14" t="s">
        <v>37</v>
      </c>
      <c r="Z25" s="14" t="s">
        <v>37</v>
      </c>
      <c r="AA25" s="4"/>
      <c r="AB25" s="4"/>
      <c r="AC25" s="4"/>
      <c r="AD25" s="4"/>
      <c r="AE25" s="4"/>
      <c r="AF25" s="4"/>
      <c r="AG25" s="4"/>
    </row>
    <row r="26" spans="11:33" ht="21.75" customHeight="1" x14ac:dyDescent="0.25"/>
    <row r="27" spans="11:33" ht="33.75" customHeight="1" x14ac:dyDescent="0.25">
      <c r="K27" s="387" t="s">
        <v>36</v>
      </c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W27" s="387" t="s">
        <v>71</v>
      </c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</row>
    <row r="28" spans="11:33" ht="3.75" customHeight="1" thickBot="1" x14ac:dyDescent="0.3"/>
    <row r="29" spans="11:33" ht="24.75" customHeight="1" thickBot="1" x14ac:dyDescent="0.3">
      <c r="K29" s="381" t="s">
        <v>34</v>
      </c>
      <c r="L29" s="381" t="s">
        <v>35</v>
      </c>
      <c r="M29" s="389" t="s">
        <v>33</v>
      </c>
      <c r="N29" s="389"/>
      <c r="O29" s="25" t="s">
        <v>73</v>
      </c>
      <c r="P29" s="25" t="s">
        <v>74</v>
      </c>
      <c r="Q29" s="25" t="s">
        <v>75</v>
      </c>
      <c r="R29" s="25" t="s">
        <v>76</v>
      </c>
      <c r="S29" s="25" t="s">
        <v>77</v>
      </c>
      <c r="T29" s="25" t="s">
        <v>78</v>
      </c>
      <c r="U29" s="25" t="s">
        <v>79</v>
      </c>
      <c r="W29" s="381" t="s">
        <v>34</v>
      </c>
      <c r="X29" s="381" t="s">
        <v>35</v>
      </c>
      <c r="Y29" s="389" t="s">
        <v>33</v>
      </c>
      <c r="Z29" s="389"/>
      <c r="AA29" s="379" t="s">
        <v>27</v>
      </c>
      <c r="AB29" s="379" t="s">
        <v>28</v>
      </c>
      <c r="AC29" s="379" t="s">
        <v>29</v>
      </c>
      <c r="AD29" s="379" t="s">
        <v>30</v>
      </c>
      <c r="AE29" s="379" t="s">
        <v>31</v>
      </c>
      <c r="AF29" s="379" t="s">
        <v>25</v>
      </c>
      <c r="AG29" s="379" t="s">
        <v>32</v>
      </c>
    </row>
    <row r="30" spans="11:33" ht="24.75" customHeight="1" thickBot="1" x14ac:dyDescent="0.3">
      <c r="K30" s="382"/>
      <c r="L30" s="382"/>
      <c r="M30" s="19" t="s">
        <v>60</v>
      </c>
      <c r="N30" s="18" t="s">
        <v>61</v>
      </c>
      <c r="O30" s="24" t="s">
        <v>27</v>
      </c>
      <c r="P30" s="24" t="s">
        <v>28</v>
      </c>
      <c r="Q30" s="24" t="s">
        <v>29</v>
      </c>
      <c r="R30" s="24" t="s">
        <v>30</v>
      </c>
      <c r="S30" s="24" t="s">
        <v>31</v>
      </c>
      <c r="T30" s="24" t="s">
        <v>25</v>
      </c>
      <c r="U30" s="24" t="s">
        <v>32</v>
      </c>
      <c r="W30" s="382"/>
      <c r="X30" s="382"/>
      <c r="Y30" s="19" t="s">
        <v>60</v>
      </c>
      <c r="Z30" s="18" t="s">
        <v>61</v>
      </c>
      <c r="AA30" s="380"/>
      <c r="AB30" s="380"/>
      <c r="AC30" s="380"/>
      <c r="AD30" s="380"/>
      <c r="AE30" s="380"/>
      <c r="AF30" s="380"/>
      <c r="AG30" s="380"/>
    </row>
    <row r="31" spans="11:33" ht="2.25" customHeight="1" thickBot="1" x14ac:dyDescent="0.3"/>
    <row r="32" spans="11:33" ht="25.5" customHeight="1" thickBot="1" x14ac:dyDescent="0.3">
      <c r="K32" s="4" t="s">
        <v>86</v>
      </c>
      <c r="L32" s="4" t="s">
        <v>53</v>
      </c>
      <c r="M32" s="14" t="s">
        <v>37</v>
      </c>
      <c r="N32" s="14" t="s">
        <v>37</v>
      </c>
      <c r="O32" s="4">
        <v>61.9</v>
      </c>
      <c r="P32" s="4">
        <v>19.8</v>
      </c>
      <c r="Q32" s="4">
        <v>31.6</v>
      </c>
      <c r="R32" s="4">
        <v>33.1</v>
      </c>
      <c r="S32" s="4">
        <v>57.2</v>
      </c>
      <c r="T32" s="4">
        <v>405</v>
      </c>
      <c r="U32" s="4">
        <v>433</v>
      </c>
      <c r="W32" s="4" t="s">
        <v>42</v>
      </c>
      <c r="X32" s="4" t="s">
        <v>53</v>
      </c>
      <c r="Y32" s="14" t="s">
        <v>37</v>
      </c>
      <c r="Z32" s="14" t="s">
        <v>37</v>
      </c>
      <c r="AA32" s="4"/>
      <c r="AB32" s="4"/>
      <c r="AC32" s="4"/>
      <c r="AD32" s="4"/>
      <c r="AE32" s="4"/>
      <c r="AF32" s="4"/>
      <c r="AG32" s="4"/>
    </row>
    <row r="33" spans="11:33" ht="15.75" thickBot="1" x14ac:dyDescent="0.3">
      <c r="K33" s="4" t="s">
        <v>46</v>
      </c>
      <c r="L33" s="4" t="s">
        <v>54</v>
      </c>
      <c r="M33" s="4" t="s">
        <v>59</v>
      </c>
      <c r="N33" s="4" t="s">
        <v>59</v>
      </c>
      <c r="O33" s="4">
        <v>140</v>
      </c>
      <c r="P33" s="4">
        <v>132</v>
      </c>
      <c r="Q33" s="4">
        <v>138</v>
      </c>
      <c r="R33" s="4">
        <v>136</v>
      </c>
      <c r="S33" s="4">
        <v>134</v>
      </c>
      <c r="T33" s="4">
        <v>65</v>
      </c>
      <c r="U33" s="4">
        <v>62</v>
      </c>
      <c r="W33" s="4" t="s">
        <v>46</v>
      </c>
      <c r="X33" s="4" t="s">
        <v>54</v>
      </c>
      <c r="Y33" s="4" t="s">
        <v>59</v>
      </c>
      <c r="Z33" s="4" t="s">
        <v>59</v>
      </c>
      <c r="AA33" s="4"/>
      <c r="AB33" s="4"/>
      <c r="AC33" s="4"/>
      <c r="AD33" s="4"/>
      <c r="AE33" s="4"/>
      <c r="AF33" s="4"/>
      <c r="AG33" s="4"/>
    </row>
    <row r="34" spans="11:33" ht="15.75" thickBot="1" x14ac:dyDescent="0.3">
      <c r="K34" s="4" t="s">
        <v>47</v>
      </c>
      <c r="L34" s="4" t="s">
        <v>54</v>
      </c>
      <c r="M34" s="4">
        <v>500</v>
      </c>
      <c r="N34" s="14" t="s">
        <v>37</v>
      </c>
      <c r="O34" s="4">
        <v>5.9</v>
      </c>
      <c r="P34" s="4">
        <v>6.9</v>
      </c>
      <c r="Q34" s="4">
        <v>3.3</v>
      </c>
      <c r="R34" s="4">
        <v>5.6</v>
      </c>
      <c r="S34" s="4">
        <v>7.9</v>
      </c>
      <c r="T34" s="4">
        <v>4.3</v>
      </c>
      <c r="U34" s="4">
        <v>4.4000000000000004</v>
      </c>
      <c r="W34" s="4" t="s">
        <v>47</v>
      </c>
      <c r="X34" s="4" t="s">
        <v>54</v>
      </c>
      <c r="Y34" s="4">
        <v>500</v>
      </c>
      <c r="Z34" s="14" t="s">
        <v>37</v>
      </c>
      <c r="AA34" s="4"/>
      <c r="AB34" s="4"/>
      <c r="AC34" s="4"/>
      <c r="AD34" s="4"/>
      <c r="AE34" s="4"/>
      <c r="AF34" s="4"/>
      <c r="AG34" s="4"/>
    </row>
    <row r="35" spans="11:33" ht="15.75" thickBot="1" x14ac:dyDescent="0.3">
      <c r="K35" s="4" t="s">
        <v>48</v>
      </c>
      <c r="L35" s="4" t="s">
        <v>54</v>
      </c>
      <c r="M35" s="4">
        <v>100</v>
      </c>
      <c r="N35" s="4">
        <v>100</v>
      </c>
      <c r="O35" s="4">
        <v>5.4</v>
      </c>
      <c r="P35" s="4">
        <v>6.5</v>
      </c>
      <c r="Q35" s="4">
        <v>5.6</v>
      </c>
      <c r="R35" s="4">
        <v>5.2</v>
      </c>
      <c r="S35" s="4">
        <v>6.5</v>
      </c>
      <c r="T35" s="4">
        <v>3.4</v>
      </c>
      <c r="U35" s="4">
        <v>4.5999999999999996</v>
      </c>
      <c r="W35" s="4" t="s">
        <v>48</v>
      </c>
      <c r="X35" s="4" t="s">
        <v>54</v>
      </c>
      <c r="Y35" s="4">
        <v>100</v>
      </c>
      <c r="Z35" s="4">
        <v>100</v>
      </c>
      <c r="AA35" s="4"/>
      <c r="AB35" s="4"/>
      <c r="AC35" s="4"/>
      <c r="AD35" s="4"/>
      <c r="AE35" s="4"/>
      <c r="AF35" s="4"/>
      <c r="AG35" s="4"/>
    </row>
    <row r="36" spans="11:33" ht="15.75" thickBot="1" x14ac:dyDescent="0.3">
      <c r="K36" s="4" t="s">
        <v>49</v>
      </c>
      <c r="L36" s="4" t="s">
        <v>54</v>
      </c>
      <c r="M36" s="4" t="s">
        <v>67</v>
      </c>
      <c r="N36" s="4" t="s">
        <v>67</v>
      </c>
      <c r="O36" s="4">
        <v>3.2</v>
      </c>
      <c r="P36" s="4">
        <v>3.3</v>
      </c>
      <c r="Q36" s="4">
        <v>2.5</v>
      </c>
      <c r="R36" s="4">
        <v>1.5</v>
      </c>
      <c r="S36" s="4">
        <v>2</v>
      </c>
      <c r="T36" s="4">
        <v>2.2000000000000002</v>
      </c>
      <c r="U36" s="4">
        <v>2</v>
      </c>
      <c r="W36" s="4" t="s">
        <v>49</v>
      </c>
      <c r="X36" s="4" t="s">
        <v>54</v>
      </c>
      <c r="Y36" s="4" t="s">
        <v>67</v>
      </c>
      <c r="Z36" s="4" t="s">
        <v>67</v>
      </c>
      <c r="AA36" s="4"/>
      <c r="AB36" s="4"/>
      <c r="AC36" s="4"/>
      <c r="AD36" s="4"/>
      <c r="AE36" s="4"/>
      <c r="AF36" s="4"/>
      <c r="AG36" s="4"/>
    </row>
    <row r="37" spans="11:33" ht="15.75" thickBot="1" x14ac:dyDescent="0.3">
      <c r="K37" s="4" t="s">
        <v>50</v>
      </c>
      <c r="L37" s="4" t="s">
        <v>54</v>
      </c>
      <c r="M37" s="4">
        <v>5</v>
      </c>
      <c r="N37" s="14" t="s">
        <v>37</v>
      </c>
      <c r="O37" s="4">
        <v>0.52200000000000002</v>
      </c>
      <c r="P37" s="4">
        <v>0.72799999999999998</v>
      </c>
      <c r="Q37" s="4">
        <v>0.44900000000000001</v>
      </c>
      <c r="R37" s="4">
        <v>0.45300000000000001</v>
      </c>
      <c r="S37" s="4">
        <v>1.0189999999999999</v>
      </c>
      <c r="T37" s="4">
        <v>1.4</v>
      </c>
      <c r="U37" s="4">
        <v>1.4</v>
      </c>
      <c r="W37" s="4" t="s">
        <v>50</v>
      </c>
      <c r="X37" s="4" t="s">
        <v>54</v>
      </c>
      <c r="Y37" s="4">
        <v>5</v>
      </c>
      <c r="Z37" s="14" t="s">
        <v>37</v>
      </c>
      <c r="AA37" s="4"/>
      <c r="AB37" s="4"/>
      <c r="AC37" s="4"/>
      <c r="AD37" s="4"/>
      <c r="AE37" s="4"/>
      <c r="AF37" s="4"/>
      <c r="AG37" s="4"/>
    </row>
    <row r="38" spans="11:33" ht="15.75" thickBot="1" x14ac:dyDescent="0.3">
      <c r="K38" s="4" t="s">
        <v>51</v>
      </c>
      <c r="L38" s="4" t="s">
        <v>54</v>
      </c>
      <c r="M38" s="4" t="s">
        <v>67</v>
      </c>
      <c r="N38" s="4" t="s">
        <v>68</v>
      </c>
      <c r="O38" s="4">
        <v>0.84</v>
      </c>
      <c r="P38" s="4">
        <v>1.58</v>
      </c>
      <c r="Q38" s="4">
        <v>1.08</v>
      </c>
      <c r="R38" s="4">
        <v>1.1100000000000001</v>
      </c>
      <c r="S38" s="4">
        <v>0.67</v>
      </c>
      <c r="T38" s="4">
        <v>0.33</v>
      </c>
      <c r="U38" s="4">
        <v>0.39</v>
      </c>
      <c r="W38" s="4" t="s">
        <v>51</v>
      </c>
      <c r="X38" s="4" t="s">
        <v>54</v>
      </c>
      <c r="Y38" s="4" t="s">
        <v>67</v>
      </c>
      <c r="Z38" s="4" t="s">
        <v>68</v>
      </c>
      <c r="AA38" s="4"/>
      <c r="AB38" s="4"/>
      <c r="AC38" s="4"/>
      <c r="AD38" s="4"/>
      <c r="AE38" s="4"/>
      <c r="AF38" s="4"/>
      <c r="AG38" s="4"/>
    </row>
    <row r="39" spans="11:33" ht="24.75" thickBot="1" x14ac:dyDescent="0.3">
      <c r="K39" s="4" t="s">
        <v>52</v>
      </c>
      <c r="L39" s="4" t="s">
        <v>54</v>
      </c>
      <c r="M39" s="4" t="s">
        <v>69</v>
      </c>
      <c r="N39" s="4">
        <v>1</v>
      </c>
      <c r="O39" s="4">
        <v>1.2999999999999999E-2</v>
      </c>
      <c r="P39" s="4">
        <v>3.7999999999999999E-2</v>
      </c>
      <c r="Q39" s="4">
        <v>2.9000000000000001E-2</v>
      </c>
      <c r="R39" s="4">
        <v>0.03</v>
      </c>
      <c r="S39" s="4">
        <v>4.2000000000000003E-2</v>
      </c>
      <c r="T39" s="4">
        <v>1.4999999999999999E-2</v>
      </c>
      <c r="U39" s="4">
        <v>2.3E-2</v>
      </c>
      <c r="W39" s="4" t="s">
        <v>52</v>
      </c>
      <c r="X39" s="4" t="s">
        <v>54</v>
      </c>
      <c r="Y39" s="4" t="s">
        <v>69</v>
      </c>
      <c r="Z39" s="4">
        <v>1</v>
      </c>
      <c r="AA39" s="4"/>
      <c r="AB39" s="4"/>
      <c r="AC39" s="4"/>
      <c r="AD39" s="4"/>
      <c r="AE39" s="4"/>
      <c r="AF39" s="4"/>
      <c r="AG39" s="4"/>
    </row>
    <row r="40" spans="11:33" ht="15.75" thickBot="1" x14ac:dyDescent="0.3">
      <c r="K40" s="4" t="s">
        <v>45</v>
      </c>
      <c r="L40" s="4" t="s">
        <v>54</v>
      </c>
      <c r="M40" s="14" t="s">
        <v>37</v>
      </c>
      <c r="N40" s="14" t="s">
        <v>37</v>
      </c>
      <c r="O40" s="4">
        <v>345</v>
      </c>
      <c r="P40" s="4">
        <v>370</v>
      </c>
      <c r="Q40" s="4">
        <v>390</v>
      </c>
      <c r="R40" s="4">
        <v>410</v>
      </c>
      <c r="S40" s="4">
        <v>370</v>
      </c>
      <c r="T40" s="4">
        <v>240</v>
      </c>
      <c r="U40" s="4">
        <v>240</v>
      </c>
      <c r="W40" s="4" t="s">
        <v>45</v>
      </c>
      <c r="X40" s="4" t="s">
        <v>54</v>
      </c>
      <c r="Y40" s="14" t="s">
        <v>37</v>
      </c>
      <c r="Z40" s="14" t="s">
        <v>37</v>
      </c>
      <c r="AA40" s="4"/>
      <c r="AB40" s="4"/>
      <c r="AC40" s="4"/>
      <c r="AD40" s="4"/>
      <c r="AE40" s="4"/>
      <c r="AF40" s="4"/>
      <c r="AG40" s="4"/>
    </row>
    <row r="41" spans="11:33" ht="24.75" thickBot="1" x14ac:dyDescent="0.3">
      <c r="K41" s="4" t="s">
        <v>129</v>
      </c>
      <c r="L41" s="4" t="s">
        <v>54</v>
      </c>
      <c r="M41" s="14">
        <v>10</v>
      </c>
      <c r="N41" s="14">
        <v>10</v>
      </c>
      <c r="O41" s="4">
        <v>11</v>
      </c>
      <c r="P41" s="4">
        <v>13</v>
      </c>
      <c r="Q41" s="4">
        <v>9</v>
      </c>
      <c r="R41" s="4">
        <v>14</v>
      </c>
      <c r="S41" s="4">
        <v>20</v>
      </c>
      <c r="T41" s="4">
        <v>14</v>
      </c>
      <c r="U41" s="4">
        <v>30</v>
      </c>
    </row>
    <row r="42" spans="11:33" ht="15.75" thickBot="1" x14ac:dyDescent="0.3">
      <c r="K42" s="4" t="s">
        <v>89</v>
      </c>
      <c r="L42" s="4" t="s">
        <v>54</v>
      </c>
      <c r="M42" s="14"/>
      <c r="N42" s="14"/>
      <c r="O42" s="14">
        <v>10</v>
      </c>
      <c r="P42" s="14">
        <v>10</v>
      </c>
      <c r="Q42" s="14">
        <v>10</v>
      </c>
      <c r="R42" s="14">
        <v>10</v>
      </c>
      <c r="S42" s="14">
        <v>10</v>
      </c>
      <c r="T42" s="14">
        <v>10</v>
      </c>
      <c r="U42" s="14">
        <v>10</v>
      </c>
    </row>
    <row r="43" spans="11:33" ht="15.75" thickBot="1" x14ac:dyDescent="0.3">
      <c r="K43" s="4" t="s">
        <v>44</v>
      </c>
      <c r="L43" s="4" t="s">
        <v>54</v>
      </c>
      <c r="M43" s="14">
        <v>2</v>
      </c>
      <c r="N43" s="14">
        <v>24</v>
      </c>
      <c r="O43" s="4">
        <v>0.13</v>
      </c>
      <c r="P43" s="4">
        <v>0.37</v>
      </c>
      <c r="Q43" s="4">
        <v>0.12</v>
      </c>
      <c r="R43" s="4">
        <v>0.1</v>
      </c>
      <c r="S43" s="4">
        <v>0.13</v>
      </c>
      <c r="T43" s="4">
        <v>0.26</v>
      </c>
      <c r="U43" s="4">
        <v>0.27</v>
      </c>
    </row>
    <row r="44" spans="11:33" ht="24.75" customHeight="1" thickBot="1" x14ac:dyDescent="0.3">
      <c r="K44" s="394"/>
      <c r="L44" s="394"/>
      <c r="M44" s="396"/>
      <c r="N44" s="396"/>
      <c r="O44" s="385"/>
      <c r="P44" s="385"/>
      <c r="Q44" s="385"/>
      <c r="R44" s="385"/>
      <c r="S44" s="385"/>
      <c r="T44" s="385"/>
      <c r="U44" s="385"/>
      <c r="W44" s="387" t="s">
        <v>72</v>
      </c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</row>
    <row r="45" spans="11:33" ht="24.75" customHeight="1" thickBot="1" x14ac:dyDescent="0.3">
      <c r="K45" s="395"/>
      <c r="L45" s="395"/>
      <c r="M45" s="20"/>
      <c r="N45" s="21"/>
      <c r="O45" s="386"/>
      <c r="P45" s="386"/>
      <c r="Q45" s="386"/>
      <c r="R45" s="386"/>
      <c r="S45" s="386"/>
      <c r="T45" s="386"/>
      <c r="U45" s="386"/>
    </row>
    <row r="46" spans="11:33" ht="24.75" customHeight="1" thickBot="1" x14ac:dyDescent="0.3">
      <c r="W46" s="381" t="s">
        <v>34</v>
      </c>
      <c r="X46" s="381" t="s">
        <v>35</v>
      </c>
      <c r="Y46" s="383" t="s">
        <v>33</v>
      </c>
      <c r="Z46" s="384"/>
      <c r="AA46" s="379" t="s">
        <v>27</v>
      </c>
      <c r="AB46" s="379" t="s">
        <v>28</v>
      </c>
      <c r="AC46" s="379" t="s">
        <v>29</v>
      </c>
      <c r="AD46" s="379" t="s">
        <v>30</v>
      </c>
      <c r="AE46" s="379" t="s">
        <v>31</v>
      </c>
      <c r="AF46" s="379" t="s">
        <v>25</v>
      </c>
      <c r="AG46" s="379" t="s">
        <v>32</v>
      </c>
    </row>
    <row r="47" spans="11:33" ht="15.75" thickBot="1" x14ac:dyDescent="0.3">
      <c r="K47" s="12"/>
      <c r="L47" s="23"/>
      <c r="M47" s="22"/>
      <c r="N47" s="22"/>
      <c r="O47" s="12"/>
      <c r="P47" s="12"/>
      <c r="Q47" s="12"/>
      <c r="R47" s="12"/>
      <c r="S47" s="12"/>
      <c r="T47" s="12"/>
      <c r="U47" s="12"/>
      <c r="W47" s="382"/>
      <c r="X47" s="382"/>
      <c r="Y47" s="19" t="s">
        <v>60</v>
      </c>
      <c r="Z47" s="18" t="s">
        <v>61</v>
      </c>
      <c r="AA47" s="380"/>
      <c r="AB47" s="380"/>
      <c r="AC47" s="380"/>
      <c r="AD47" s="380"/>
      <c r="AE47" s="380"/>
      <c r="AF47" s="380"/>
      <c r="AG47" s="380"/>
    </row>
    <row r="48" spans="11:33" ht="15.75" thickBot="1" x14ac:dyDescent="0.3">
      <c r="K48" s="12"/>
      <c r="L48" s="23"/>
      <c r="M48" s="23"/>
      <c r="N48" s="12"/>
      <c r="O48" s="12"/>
      <c r="P48" s="12"/>
      <c r="Q48" s="12"/>
      <c r="R48" s="12"/>
      <c r="S48" s="12"/>
      <c r="T48" s="12"/>
      <c r="U48" s="12"/>
    </row>
    <row r="49" spans="11:33" ht="24.75" thickBot="1" x14ac:dyDescent="0.3">
      <c r="K49" s="12"/>
      <c r="L49" s="23"/>
      <c r="M49" s="23"/>
      <c r="N49" s="22"/>
      <c r="O49" s="12"/>
      <c r="P49" s="12"/>
      <c r="Q49" s="12"/>
      <c r="R49" s="12"/>
      <c r="S49" s="12"/>
      <c r="T49" s="12"/>
      <c r="U49" s="12"/>
      <c r="W49" s="4" t="s">
        <v>57</v>
      </c>
      <c r="X49" s="15" t="s">
        <v>58</v>
      </c>
      <c r="Y49" s="14" t="s">
        <v>37</v>
      </c>
      <c r="Z49" s="14" t="s">
        <v>37</v>
      </c>
      <c r="AA49" s="4"/>
      <c r="AB49" s="4"/>
      <c r="AC49" s="4"/>
      <c r="AD49" s="4"/>
      <c r="AE49" s="4"/>
      <c r="AF49" s="4"/>
      <c r="AG49" s="4"/>
    </row>
    <row r="50" spans="11:33" ht="24.75" thickBot="1" x14ac:dyDescent="0.3">
      <c r="W50" s="4" t="s">
        <v>55</v>
      </c>
      <c r="X50" s="15" t="s">
        <v>58</v>
      </c>
      <c r="Y50" s="15" t="s">
        <v>59</v>
      </c>
      <c r="Z50" s="4" t="s">
        <v>59</v>
      </c>
      <c r="AA50" s="4"/>
      <c r="AB50" s="4"/>
      <c r="AC50" s="4"/>
      <c r="AD50" s="4"/>
      <c r="AE50" s="4"/>
      <c r="AF50" s="4"/>
      <c r="AG50" s="4"/>
    </row>
    <row r="51" spans="11:33" ht="23.25" thickBot="1" x14ac:dyDescent="0.3">
      <c r="W51" s="4" t="s">
        <v>56</v>
      </c>
      <c r="X51" s="15" t="s">
        <v>58</v>
      </c>
      <c r="Y51" s="15" t="s">
        <v>59</v>
      </c>
      <c r="Z51" s="14" t="s">
        <v>37</v>
      </c>
      <c r="AA51" s="4"/>
      <c r="AB51" s="4"/>
      <c r="AC51" s="4"/>
      <c r="AD51" s="4"/>
      <c r="AE51" s="4"/>
      <c r="AF51" s="4"/>
      <c r="AG51" s="4"/>
    </row>
  </sheetData>
  <mergeCells count="81">
    <mergeCell ref="I4:I5"/>
    <mergeCell ref="B2:I2"/>
    <mergeCell ref="B4:B5"/>
    <mergeCell ref="D4:D5"/>
    <mergeCell ref="E4:E5"/>
    <mergeCell ref="F4:G4"/>
    <mergeCell ref="H4:H5"/>
    <mergeCell ref="L2:U2"/>
    <mergeCell ref="L4:L5"/>
    <mergeCell ref="N4:N5"/>
    <mergeCell ref="O4:O5"/>
    <mergeCell ref="P4:P5"/>
    <mergeCell ref="S4:S5"/>
    <mergeCell ref="U4:U5"/>
    <mergeCell ref="P19:P20"/>
    <mergeCell ref="O19:O20"/>
    <mergeCell ref="K29:K30"/>
    <mergeCell ref="L29:L30"/>
    <mergeCell ref="Q4:Q5"/>
    <mergeCell ref="K17:U17"/>
    <mergeCell ref="K27:U27"/>
    <mergeCell ref="K19:K20"/>
    <mergeCell ref="L19:L20"/>
    <mergeCell ref="Q19:Q20"/>
    <mergeCell ref="W17:AG17"/>
    <mergeCell ref="W19:W20"/>
    <mergeCell ref="X19:X20"/>
    <mergeCell ref="Y19:Z19"/>
    <mergeCell ref="K44:K45"/>
    <mergeCell ref="L44:L45"/>
    <mergeCell ref="O44:O45"/>
    <mergeCell ref="P44:P45"/>
    <mergeCell ref="Q44:Q45"/>
    <mergeCell ref="M19:N19"/>
    <mergeCell ref="M29:N29"/>
    <mergeCell ref="M44:N44"/>
    <mergeCell ref="U19:U20"/>
    <mergeCell ref="T19:T20"/>
    <mergeCell ref="S19:S20"/>
    <mergeCell ref="R19:R20"/>
    <mergeCell ref="X2:AG2"/>
    <mergeCell ref="X4:X5"/>
    <mergeCell ref="Z4:Z5"/>
    <mergeCell ref="AA4:AA5"/>
    <mergeCell ref="AB4:AB5"/>
    <mergeCell ref="AC4:AC5"/>
    <mergeCell ref="AE4:AE5"/>
    <mergeCell ref="AG4:AG5"/>
    <mergeCell ref="AC19:AC20"/>
    <mergeCell ref="AD19:AD20"/>
    <mergeCell ref="AE19:AE20"/>
    <mergeCell ref="R44:R45"/>
    <mergeCell ref="S44:S45"/>
    <mergeCell ref="T44:T45"/>
    <mergeCell ref="U44:U45"/>
    <mergeCell ref="W44:AG44"/>
    <mergeCell ref="AF19:AF20"/>
    <mergeCell ref="AG19:AG20"/>
    <mergeCell ref="W27:AG27"/>
    <mergeCell ref="W29:W30"/>
    <mergeCell ref="X29:X30"/>
    <mergeCell ref="Y29:Z29"/>
    <mergeCell ref="AA29:AA30"/>
    <mergeCell ref="AB29:AB30"/>
    <mergeCell ref="AC29:AC30"/>
    <mergeCell ref="AD29:AD30"/>
    <mergeCell ref="AE29:AE30"/>
    <mergeCell ref="AF29:AF30"/>
    <mergeCell ref="AG29:AG30"/>
    <mergeCell ref="AA19:AA20"/>
    <mergeCell ref="AB19:AB20"/>
    <mergeCell ref="W46:W47"/>
    <mergeCell ref="X46:X47"/>
    <mergeCell ref="Y46:Z46"/>
    <mergeCell ref="AA46:AA47"/>
    <mergeCell ref="AB46:AB47"/>
    <mergeCell ref="AD46:AD47"/>
    <mergeCell ref="AE46:AE47"/>
    <mergeCell ref="AF46:AF47"/>
    <mergeCell ref="AG46:AG47"/>
    <mergeCell ref="AC46:AC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42"/>
  <sheetViews>
    <sheetView showGridLines="0" zoomScale="50" zoomScaleNormal="50" workbookViewId="0">
      <selection activeCell="AF42" sqref="AF42"/>
    </sheetView>
  </sheetViews>
  <sheetFormatPr baseColWidth="10" defaultRowHeight="15" x14ac:dyDescent="0.25"/>
  <sheetData>
    <row r="42" spans="16:16" x14ac:dyDescent="0.25">
      <c r="P42" s="3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showGridLines="0" tabSelected="1" view="pageBreakPreview" topLeftCell="A11" zoomScale="70" zoomScaleNormal="145" zoomScaleSheetLayoutView="70" workbookViewId="0">
      <selection activeCell="F28" sqref="F28:L28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408" t="s">
        <v>375</v>
      </c>
      <c r="C4" s="409"/>
      <c r="D4" s="409"/>
      <c r="E4" s="409"/>
      <c r="F4" s="409"/>
      <c r="G4" s="409"/>
      <c r="H4" s="409"/>
      <c r="I4" s="409"/>
      <c r="J4" s="409"/>
      <c r="K4" s="409"/>
      <c r="L4" s="409"/>
    </row>
    <row r="5" spans="2:14" ht="2.25" customHeight="1" thickBot="1" x14ac:dyDescent="0.3"/>
    <row r="6" spans="2:14" ht="24.75" customHeight="1" thickBot="1" x14ac:dyDescent="0.3">
      <c r="B6" s="410" t="s">
        <v>34</v>
      </c>
      <c r="C6" s="410" t="s">
        <v>296</v>
      </c>
      <c r="D6" s="412" t="s">
        <v>33</v>
      </c>
      <c r="E6" s="412"/>
      <c r="F6" s="413" t="s">
        <v>137</v>
      </c>
      <c r="G6" s="414"/>
      <c r="H6" s="414"/>
      <c r="I6" s="414"/>
      <c r="J6" s="414"/>
      <c r="K6" s="414"/>
      <c r="L6" s="415"/>
    </row>
    <row r="7" spans="2:14" ht="29.25" customHeight="1" thickBot="1" x14ac:dyDescent="0.3">
      <c r="B7" s="411"/>
      <c r="C7" s="411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407" t="s">
        <v>295</v>
      </c>
      <c r="C9" s="407"/>
      <c r="D9" s="407"/>
      <c r="E9" s="407"/>
      <c r="F9" s="407"/>
      <c r="G9" s="407"/>
      <c r="H9" s="407"/>
      <c r="I9" s="407"/>
      <c r="J9" s="407"/>
      <c r="K9" s="407"/>
      <c r="L9" s="407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54">
        <v>3330</v>
      </c>
      <c r="G10" s="355">
        <v>2330</v>
      </c>
      <c r="H10" s="354">
        <v>2950</v>
      </c>
      <c r="I10" s="354">
        <v>2730</v>
      </c>
      <c r="J10" s="354">
        <v>2147</v>
      </c>
      <c r="K10" s="353">
        <v>222</v>
      </c>
      <c r="L10" s="353">
        <v>221</v>
      </c>
      <c r="M10" s="350">
        <f>MAX(F10:L10)</f>
        <v>3330</v>
      </c>
      <c r="N10" s="350">
        <f>MIN(F10:L10)</f>
        <v>221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56">
        <v>6.74</v>
      </c>
      <c r="G11" s="356">
        <v>6.8</v>
      </c>
      <c r="H11" s="356">
        <v>6.8</v>
      </c>
      <c r="I11" s="356">
        <v>6.3</v>
      </c>
      <c r="J11" s="356">
        <v>6.5</v>
      </c>
      <c r="K11" s="356">
        <v>7.8</v>
      </c>
      <c r="L11" s="356">
        <v>7.5</v>
      </c>
      <c r="M11" s="351">
        <f t="shared" ref="M11:M28" si="0">MAX(F11:L11)</f>
        <v>7.8</v>
      </c>
      <c r="N11" s="351">
        <f t="shared" ref="N11:N28" si="1">MIN(F11:L11)</f>
        <v>6.3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54">
        <v>1559</v>
      </c>
      <c r="G12" s="354">
        <v>1103</v>
      </c>
      <c r="H12" s="354">
        <v>1406</v>
      </c>
      <c r="I12" s="354">
        <v>1310</v>
      </c>
      <c r="J12" s="354">
        <v>1045</v>
      </c>
      <c r="K12" s="370">
        <v>107.5</v>
      </c>
      <c r="L12" s="353">
        <v>107.8</v>
      </c>
      <c r="M12" s="350">
        <f t="shared" si="0"/>
        <v>1559</v>
      </c>
      <c r="N12" s="350">
        <f t="shared" si="1"/>
        <v>107.5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53">
        <v>29.7</v>
      </c>
      <c r="G13" s="353">
        <v>28.5</v>
      </c>
      <c r="H13" s="353">
        <v>28.4</v>
      </c>
      <c r="I13" s="353">
        <v>27.9</v>
      </c>
      <c r="J13" s="353">
        <v>27.6</v>
      </c>
      <c r="K13" s="353">
        <v>24.1</v>
      </c>
      <c r="L13" s="353">
        <v>26.7</v>
      </c>
      <c r="M13" s="350">
        <f t="shared" si="0"/>
        <v>29.7</v>
      </c>
      <c r="N13" s="350">
        <f t="shared" si="1"/>
        <v>24.1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53">
        <v>2.96</v>
      </c>
      <c r="G14" s="353">
        <v>6.49</v>
      </c>
      <c r="H14" s="353">
        <v>5.52</v>
      </c>
      <c r="I14" s="353">
        <v>6.2</v>
      </c>
      <c r="J14" s="353">
        <v>16.7</v>
      </c>
      <c r="K14" s="353">
        <v>17.8</v>
      </c>
      <c r="L14" s="353">
        <v>578</v>
      </c>
      <c r="M14" s="350"/>
      <c r="N14" s="350"/>
    </row>
    <row r="15" spans="2:14" ht="15.75" customHeight="1" thickBot="1" x14ac:dyDescent="0.3">
      <c r="B15" s="407" t="s">
        <v>294</v>
      </c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2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3.5</v>
      </c>
      <c r="G17" s="356">
        <v>3.1</v>
      </c>
      <c r="H17" s="356">
        <v>10.5</v>
      </c>
      <c r="I17" s="356">
        <v>3.8</v>
      </c>
      <c r="J17" s="356">
        <v>3.8</v>
      </c>
      <c r="K17" s="356">
        <v>10.9</v>
      </c>
      <c r="L17" s="356">
        <v>13.8</v>
      </c>
      <c r="M17" s="352">
        <f t="shared" si="0"/>
        <v>13.8</v>
      </c>
      <c r="N17" s="352">
        <f t="shared" si="1"/>
        <v>3.1</v>
      </c>
    </row>
    <row r="18" spans="2:14" ht="15.75" hidden="1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56">
        <v>6</v>
      </c>
      <c r="G18" s="356">
        <v>9</v>
      </c>
      <c r="H18" s="356">
        <v>7</v>
      </c>
      <c r="I18" s="356">
        <v>8</v>
      </c>
      <c r="J18" s="356">
        <v>7</v>
      </c>
      <c r="K18" s="358">
        <v>11</v>
      </c>
      <c r="L18" s="358">
        <v>14</v>
      </c>
      <c r="M18" s="352">
        <f t="shared" si="0"/>
        <v>14</v>
      </c>
      <c r="N18" s="352">
        <f t="shared" si="1"/>
        <v>6</v>
      </c>
    </row>
    <row r="19" spans="2:14" ht="24.75" hidden="1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0.1</v>
      </c>
      <c r="G19" s="360">
        <v>8.5000000000000006E-2</v>
      </c>
      <c r="H19" s="361">
        <v>1.4999999999999999E-2</v>
      </c>
      <c r="I19" s="362">
        <v>0.02</v>
      </c>
      <c r="J19" s="360">
        <v>8.4000000000000005E-2</v>
      </c>
      <c r="K19" s="362">
        <v>0.03</v>
      </c>
      <c r="L19" s="360">
        <v>8.5000000000000006E-2</v>
      </c>
      <c r="M19" s="352">
        <f t="shared" si="0"/>
        <v>0.1</v>
      </c>
      <c r="N19" s="352">
        <f t="shared" si="1"/>
        <v>1.4999999999999999E-2</v>
      </c>
    </row>
    <row r="20" spans="2:14" ht="15.75" hidden="1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1.08</v>
      </c>
      <c r="G20" s="358">
        <v>1.36</v>
      </c>
      <c r="H20" s="358">
        <v>1.1200000000000001</v>
      </c>
      <c r="I20" s="358">
        <v>1.34</v>
      </c>
      <c r="J20" s="358">
        <v>1.88</v>
      </c>
      <c r="K20" s="358">
        <v>0.27</v>
      </c>
      <c r="L20" s="358">
        <v>0.38</v>
      </c>
      <c r="M20" s="352">
        <f t="shared" si="0"/>
        <v>1.88</v>
      </c>
      <c r="N20" s="352">
        <f t="shared" si="1"/>
        <v>0.27</v>
      </c>
    </row>
    <row r="21" spans="2:14" ht="15.75" hidden="1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9">
        <v>0.7</v>
      </c>
      <c r="G21" s="359">
        <v>6</v>
      </c>
      <c r="H21" s="359">
        <v>0.6</v>
      </c>
      <c r="I21" s="359">
        <v>0.4</v>
      </c>
      <c r="J21" s="359">
        <v>0.5</v>
      </c>
      <c r="K21" s="359">
        <v>0.9</v>
      </c>
      <c r="L21" s="359">
        <v>0.8</v>
      </c>
      <c r="M21" s="352">
        <f t="shared" si="0"/>
        <v>6</v>
      </c>
      <c r="N21" s="352">
        <f t="shared" si="1"/>
        <v>0.4</v>
      </c>
    </row>
    <row r="22" spans="2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57">
        <f>9*42</f>
        <v>378</v>
      </c>
      <c r="G22" s="357">
        <f>9*29</f>
        <v>261</v>
      </c>
      <c r="H22" s="357">
        <f>9*42</f>
        <v>378</v>
      </c>
      <c r="I22" s="357">
        <f>9*30</f>
        <v>270</v>
      </c>
      <c r="J22" s="357">
        <f>9*32</f>
        <v>288</v>
      </c>
      <c r="K22" s="357">
        <f>9*11</f>
        <v>99</v>
      </c>
      <c r="L22" s="357">
        <f>9*20</f>
        <v>180</v>
      </c>
      <c r="M22" s="352">
        <f t="shared" si="0"/>
        <v>378</v>
      </c>
      <c r="N22" s="352">
        <f t="shared" si="1"/>
        <v>99</v>
      </c>
    </row>
    <row r="23" spans="2:14" ht="15.75" hidden="1" thickBot="1" x14ac:dyDescent="0.3">
      <c r="B23" s="367" t="s">
        <v>50</v>
      </c>
      <c r="C23" s="367" t="s">
        <v>54</v>
      </c>
      <c r="D23" s="367">
        <v>5</v>
      </c>
      <c r="E23" s="368" t="s">
        <v>37</v>
      </c>
      <c r="F23" s="360">
        <v>0.24199999999999999</v>
      </c>
      <c r="G23" s="360">
        <v>0.372</v>
      </c>
      <c r="H23" s="360">
        <v>0.35899999999999999</v>
      </c>
      <c r="I23" s="360">
        <v>0.39</v>
      </c>
      <c r="J23" s="360">
        <v>0.378</v>
      </c>
      <c r="K23" s="360">
        <v>0.249</v>
      </c>
      <c r="L23" s="360">
        <v>0.23899999999999999</v>
      </c>
      <c r="M23" s="352">
        <f t="shared" si="0"/>
        <v>0.39</v>
      </c>
      <c r="N23" s="352">
        <f t="shared" si="1"/>
        <v>0.23899999999999999</v>
      </c>
    </row>
    <row r="24" spans="2:14" ht="15.75" hidden="1" customHeight="1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0.16</v>
      </c>
      <c r="G24" s="357">
        <v>0.1</v>
      </c>
      <c r="H24" s="357">
        <v>0.24</v>
      </c>
      <c r="I24" s="357">
        <v>0.1</v>
      </c>
      <c r="J24" s="357">
        <v>0.11</v>
      </c>
      <c r="K24" s="357">
        <v>0.11</v>
      </c>
      <c r="L24" s="357">
        <v>0.15</v>
      </c>
      <c r="M24" s="352">
        <f t="shared" si="0"/>
        <v>0.24</v>
      </c>
      <c r="N24" s="352">
        <f t="shared" si="1"/>
        <v>0.1</v>
      </c>
    </row>
    <row r="25" spans="2:14" ht="15.75" customHeight="1" thickBot="1" x14ac:dyDescent="0.3">
      <c r="B25" s="407" t="s">
        <v>293</v>
      </c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350">
        <f t="shared" si="0"/>
        <v>0</v>
      </c>
      <c r="N25" s="350">
        <f t="shared" si="1"/>
        <v>0</v>
      </c>
    </row>
    <row r="26" spans="2:14" ht="1.5" customHeight="1" thickBot="1" x14ac:dyDescent="0.3">
      <c r="M26" s="350">
        <f t="shared" si="0"/>
        <v>0</v>
      </c>
      <c r="N26" s="350">
        <f t="shared" si="1"/>
        <v>0</v>
      </c>
    </row>
    <row r="27" spans="2:14" ht="24.75" thickBot="1" x14ac:dyDescent="0.3">
      <c r="B27" s="367" t="s">
        <v>57</v>
      </c>
      <c r="C27" s="367" t="s">
        <v>58</v>
      </c>
      <c r="D27" s="368" t="s">
        <v>37</v>
      </c>
      <c r="E27" s="368" t="s">
        <v>37</v>
      </c>
      <c r="F27" s="364">
        <v>1100</v>
      </c>
      <c r="G27" s="364">
        <v>1100</v>
      </c>
      <c r="H27" s="364">
        <v>1100</v>
      </c>
      <c r="I27" s="364">
        <v>1100</v>
      </c>
      <c r="J27" s="363">
        <v>460</v>
      </c>
      <c r="K27" s="363">
        <v>460</v>
      </c>
      <c r="L27" s="363">
        <v>240</v>
      </c>
      <c r="M27" s="350">
        <f t="shared" si="0"/>
        <v>1100</v>
      </c>
      <c r="N27" s="350">
        <f t="shared" si="1"/>
        <v>240</v>
      </c>
    </row>
    <row r="28" spans="2:14" ht="24.75" thickBot="1" x14ac:dyDescent="0.3">
      <c r="B28" s="367" t="s">
        <v>55</v>
      </c>
      <c r="C28" s="367" t="s">
        <v>58</v>
      </c>
      <c r="D28" s="367" t="s">
        <v>59</v>
      </c>
      <c r="E28" s="367" t="s">
        <v>59</v>
      </c>
      <c r="F28" s="364">
        <v>1100</v>
      </c>
      <c r="G28" s="364">
        <v>1100</v>
      </c>
      <c r="H28" s="364">
        <v>1100</v>
      </c>
      <c r="I28" s="363">
        <v>460</v>
      </c>
      <c r="J28" s="363">
        <v>460</v>
      </c>
      <c r="K28" s="363">
        <v>460</v>
      </c>
      <c r="L28" s="363">
        <v>240</v>
      </c>
      <c r="M28" s="350">
        <f t="shared" si="0"/>
        <v>1100</v>
      </c>
      <c r="N28" s="350">
        <f t="shared" si="1"/>
        <v>240</v>
      </c>
    </row>
    <row r="30" spans="2:14" ht="15.75" thickBot="1" x14ac:dyDescent="0.3">
      <c r="B30" s="26"/>
      <c r="C30" s="26"/>
    </row>
    <row r="31" spans="2:14" ht="15.75" thickBot="1" x14ac:dyDescent="0.3">
      <c r="B31" s="357" t="s">
        <v>89</v>
      </c>
      <c r="C31" s="357" t="s">
        <v>54</v>
      </c>
      <c r="D31" s="369"/>
      <c r="E31" s="369"/>
      <c r="F31" s="367">
        <v>1000</v>
      </c>
      <c r="G31" s="367">
        <v>1000</v>
      </c>
      <c r="H31" s="367">
        <v>1000</v>
      </c>
      <c r="I31" s="367">
        <v>1000</v>
      </c>
      <c r="J31" s="367">
        <v>1000</v>
      </c>
      <c r="K31" s="367">
        <v>1000</v>
      </c>
      <c r="L31" s="367">
        <v>1000</v>
      </c>
    </row>
    <row r="32" spans="2:14" ht="15.75" thickBot="1" x14ac:dyDescent="0.3">
      <c r="B32" s="357" t="s">
        <v>89</v>
      </c>
      <c r="C32" s="357" t="s">
        <v>54</v>
      </c>
      <c r="D32" s="369"/>
      <c r="E32" s="369"/>
      <c r="F32" s="367">
        <v>100</v>
      </c>
      <c r="G32" s="367">
        <v>100</v>
      </c>
      <c r="H32" s="367">
        <v>100</v>
      </c>
      <c r="I32" s="367">
        <v>100</v>
      </c>
      <c r="J32" s="367">
        <v>100</v>
      </c>
      <c r="K32" s="367">
        <v>100</v>
      </c>
      <c r="L32" s="367">
        <v>100</v>
      </c>
    </row>
    <row r="33" spans="2:12" ht="24.75" thickBot="1" x14ac:dyDescent="0.3">
      <c r="B33" s="357" t="s">
        <v>125</v>
      </c>
      <c r="C33" s="357" t="s">
        <v>54</v>
      </c>
      <c r="D33" s="369"/>
      <c r="E33" s="369"/>
      <c r="F33" s="367">
        <v>0.2</v>
      </c>
      <c r="G33" s="367">
        <v>0.2</v>
      </c>
      <c r="H33" s="367">
        <v>0.2</v>
      </c>
      <c r="I33" s="367">
        <v>0.2</v>
      </c>
      <c r="J33" s="367">
        <v>0.2</v>
      </c>
      <c r="K33" s="367">
        <v>0.2</v>
      </c>
      <c r="L33" s="367">
        <v>0.2</v>
      </c>
    </row>
    <row r="34" spans="2:12" ht="24.75" thickBot="1" x14ac:dyDescent="0.3">
      <c r="B34" s="357" t="s">
        <v>126</v>
      </c>
      <c r="C34" s="357" t="s">
        <v>54</v>
      </c>
      <c r="D34" s="369"/>
      <c r="E34" s="369"/>
      <c r="F34" s="367">
        <v>0.5</v>
      </c>
      <c r="G34" s="367">
        <v>0.5</v>
      </c>
      <c r="H34" s="367">
        <v>0.5</v>
      </c>
      <c r="I34" s="367">
        <v>0.5</v>
      </c>
      <c r="J34" s="367">
        <v>0.5</v>
      </c>
      <c r="K34" s="367">
        <v>0.5</v>
      </c>
      <c r="L34" s="367">
        <v>0.5</v>
      </c>
    </row>
    <row r="35" spans="2:12" ht="24.75" thickBot="1" x14ac:dyDescent="0.3">
      <c r="B35" s="357" t="s">
        <v>125</v>
      </c>
      <c r="C35" s="357" t="s">
        <v>54</v>
      </c>
      <c r="D35" s="369"/>
      <c r="E35" s="369"/>
      <c r="F35" s="367">
        <v>500</v>
      </c>
      <c r="G35" s="367">
        <v>500</v>
      </c>
      <c r="H35" s="367">
        <v>500</v>
      </c>
      <c r="I35" s="367">
        <v>500</v>
      </c>
      <c r="J35" s="367">
        <v>500</v>
      </c>
      <c r="K35" s="367">
        <v>500</v>
      </c>
      <c r="L35" s="367">
        <v>500</v>
      </c>
    </row>
    <row r="36" spans="2:12" ht="36.75" thickBot="1" x14ac:dyDescent="0.3">
      <c r="B36" s="357" t="s">
        <v>336</v>
      </c>
      <c r="C36" s="357" t="s">
        <v>54</v>
      </c>
      <c r="D36" s="369"/>
      <c r="E36" s="369"/>
      <c r="F36" s="367">
        <v>0.2</v>
      </c>
      <c r="G36" s="367">
        <v>0.2</v>
      </c>
      <c r="H36" s="367">
        <v>0.2</v>
      </c>
      <c r="I36" s="367">
        <v>0.2</v>
      </c>
      <c r="J36" s="367">
        <v>0.2</v>
      </c>
      <c r="K36" s="367">
        <v>0.2</v>
      </c>
      <c r="L36" s="367">
        <v>0.2</v>
      </c>
    </row>
    <row r="37" spans="2:12" ht="36.75" thickBot="1" x14ac:dyDescent="0.3">
      <c r="B37" s="357" t="s">
        <v>336</v>
      </c>
      <c r="C37" s="357" t="s">
        <v>54</v>
      </c>
      <c r="D37" s="369"/>
      <c r="E37" s="369"/>
      <c r="F37" s="367">
        <v>10</v>
      </c>
      <c r="G37" s="367">
        <v>10</v>
      </c>
      <c r="H37" s="367">
        <v>10</v>
      </c>
      <c r="I37" s="367">
        <v>10</v>
      </c>
      <c r="J37" s="367">
        <v>10</v>
      </c>
      <c r="K37" s="367">
        <v>10</v>
      </c>
      <c r="L37" s="367">
        <v>10</v>
      </c>
    </row>
    <row r="38" spans="2:12" ht="24.75" thickBot="1" x14ac:dyDescent="0.3">
      <c r="B38" s="357" t="s">
        <v>125</v>
      </c>
      <c r="C38" s="357" t="s">
        <v>54</v>
      </c>
      <c r="D38" s="369"/>
      <c r="E38" s="369"/>
      <c r="F38" s="367">
        <v>5</v>
      </c>
      <c r="G38" s="367">
        <v>5</v>
      </c>
      <c r="H38" s="367">
        <v>5</v>
      </c>
      <c r="I38" s="367">
        <v>5</v>
      </c>
      <c r="J38" s="367">
        <v>5</v>
      </c>
      <c r="K38" s="367">
        <v>5</v>
      </c>
      <c r="L38" s="367">
        <v>5</v>
      </c>
    </row>
    <row r="39" spans="2:12" ht="24.75" thickBot="1" x14ac:dyDescent="0.3">
      <c r="B39" s="357" t="s">
        <v>125</v>
      </c>
      <c r="C39" s="357" t="s">
        <v>54</v>
      </c>
      <c r="D39" s="369"/>
      <c r="E39" s="369"/>
      <c r="F39" s="367">
        <v>0.1</v>
      </c>
      <c r="G39" s="367">
        <v>0.1</v>
      </c>
      <c r="H39" s="367">
        <v>0.1</v>
      </c>
      <c r="I39" s="367">
        <v>0.1</v>
      </c>
      <c r="J39" s="367">
        <v>0.1</v>
      </c>
      <c r="K39" s="367">
        <v>0.1</v>
      </c>
      <c r="L39" s="367">
        <v>0.1</v>
      </c>
    </row>
    <row r="40" spans="2:12" ht="24.75" thickBot="1" x14ac:dyDescent="0.3">
      <c r="B40" s="357" t="s">
        <v>125</v>
      </c>
      <c r="C40" s="357" t="s">
        <v>54</v>
      </c>
      <c r="D40" s="369"/>
      <c r="E40" s="369"/>
      <c r="F40" s="367">
        <v>2</v>
      </c>
      <c r="G40" s="367">
        <v>2</v>
      </c>
      <c r="H40" s="367">
        <v>2</v>
      </c>
      <c r="I40" s="367">
        <v>2</v>
      </c>
      <c r="J40" s="367">
        <v>2</v>
      </c>
      <c r="K40" s="367">
        <v>2</v>
      </c>
      <c r="L40" s="367">
        <v>2</v>
      </c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ignoredErrors>
    <ignoredError sqref="G2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6"/>
  <sheetViews>
    <sheetView showGridLines="0" view="pageBreakPreview" topLeftCell="B16" zoomScale="80" zoomScaleNormal="145" zoomScaleSheetLayoutView="80" workbookViewId="0">
      <selection activeCell="F34" sqref="F34:L34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408" t="s">
        <v>376</v>
      </c>
      <c r="C4" s="409"/>
      <c r="D4" s="409"/>
      <c r="E4" s="409"/>
      <c r="F4" s="409"/>
      <c r="G4" s="409"/>
      <c r="H4" s="409"/>
      <c r="I4" s="409"/>
      <c r="J4" s="409"/>
      <c r="K4" s="409"/>
      <c r="L4" s="409"/>
    </row>
    <row r="5" spans="2:14" ht="2.25" customHeight="1" thickBot="1" x14ac:dyDescent="0.3"/>
    <row r="6" spans="2:14" ht="24.75" customHeight="1" thickBot="1" x14ac:dyDescent="0.3">
      <c r="B6" s="410" t="s">
        <v>34</v>
      </c>
      <c r="C6" s="410" t="s">
        <v>296</v>
      </c>
      <c r="D6" s="412" t="s">
        <v>33</v>
      </c>
      <c r="E6" s="412"/>
      <c r="F6" s="413" t="s">
        <v>137</v>
      </c>
      <c r="G6" s="414"/>
      <c r="H6" s="414"/>
      <c r="I6" s="414"/>
      <c r="J6" s="414"/>
      <c r="K6" s="414"/>
      <c r="L6" s="415"/>
    </row>
    <row r="7" spans="2:14" ht="29.25" customHeight="1" thickBot="1" x14ac:dyDescent="0.3">
      <c r="B7" s="411"/>
      <c r="C7" s="411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407" t="s">
        <v>295</v>
      </c>
      <c r="C9" s="407"/>
      <c r="D9" s="407"/>
      <c r="E9" s="407"/>
      <c r="F9" s="407"/>
      <c r="G9" s="407"/>
      <c r="H9" s="407"/>
      <c r="I9" s="407"/>
      <c r="J9" s="407"/>
      <c r="K9" s="407"/>
      <c r="L9" s="407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72">
        <v>1946</v>
      </c>
      <c r="G10" s="372">
        <v>2142</v>
      </c>
      <c r="H10" s="372">
        <v>2850</v>
      </c>
      <c r="I10" s="372">
        <v>2670</v>
      </c>
      <c r="J10" s="372">
        <v>2129</v>
      </c>
      <c r="K10" s="373">
        <v>431</v>
      </c>
      <c r="L10" s="373">
        <v>433</v>
      </c>
      <c r="M10" s="350">
        <f>MAX(F10:L10)</f>
        <v>2850</v>
      </c>
      <c r="N10" s="350">
        <f>MIN(F10:L10)</f>
        <v>431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74">
        <v>8.06</v>
      </c>
      <c r="G11" s="374">
        <v>7.78</v>
      </c>
      <c r="H11" s="374">
        <v>7.86</v>
      </c>
      <c r="I11" s="374">
        <v>8.0299999999999994</v>
      </c>
      <c r="J11" s="374">
        <v>8.08</v>
      </c>
      <c r="K11" s="374">
        <v>8.59</v>
      </c>
      <c r="L11" s="374">
        <v>8.32</v>
      </c>
      <c r="M11" s="352">
        <f t="shared" ref="M11:M34" si="0">MAX(F11:L11)</f>
        <v>8.59</v>
      </c>
      <c r="N11" s="352">
        <f t="shared" ref="N11:N34" si="1">MIN(F11:L11)</f>
        <v>7.78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72">
        <v>995</v>
      </c>
      <c r="G12" s="372">
        <v>1071</v>
      </c>
      <c r="H12" s="372">
        <v>1427</v>
      </c>
      <c r="I12" s="372">
        <v>1329</v>
      </c>
      <c r="J12" s="372">
        <v>1078</v>
      </c>
      <c r="K12" s="372">
        <v>220</v>
      </c>
      <c r="L12" s="373">
        <v>223</v>
      </c>
      <c r="M12" s="350">
        <f t="shared" si="0"/>
        <v>1427</v>
      </c>
      <c r="N12" s="350">
        <f t="shared" si="1"/>
        <v>220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73">
        <v>24.5</v>
      </c>
      <c r="G13" s="373">
        <v>24.4</v>
      </c>
      <c r="H13" s="373">
        <v>25.9</v>
      </c>
      <c r="I13" s="373">
        <v>25.8</v>
      </c>
      <c r="J13" s="373">
        <v>24.6</v>
      </c>
      <c r="K13" s="373">
        <v>21.9</v>
      </c>
      <c r="L13" s="373">
        <v>21.7</v>
      </c>
      <c r="M13" s="350">
        <f t="shared" si="0"/>
        <v>25.9</v>
      </c>
      <c r="N13" s="350">
        <f t="shared" si="1"/>
        <v>21.7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75">
        <v>20.731000000000002</v>
      </c>
      <c r="G14" s="375">
        <v>24.1</v>
      </c>
      <c r="H14" s="375">
        <v>20.5</v>
      </c>
      <c r="I14" s="375">
        <v>53.1</v>
      </c>
      <c r="J14" s="375">
        <v>69.900000000000006</v>
      </c>
      <c r="K14" s="375">
        <v>57.8</v>
      </c>
      <c r="L14" s="375">
        <v>75.099999999999994</v>
      </c>
      <c r="M14" s="350">
        <f t="shared" si="0"/>
        <v>75.099999999999994</v>
      </c>
      <c r="N14" s="350">
        <f t="shared" si="1"/>
        <v>20.5</v>
      </c>
    </row>
    <row r="15" spans="2:14" ht="15.75" customHeight="1" thickBot="1" x14ac:dyDescent="0.3">
      <c r="B15" s="407" t="s">
        <v>294</v>
      </c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2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8.9</v>
      </c>
      <c r="G17" s="356">
        <v>7.8</v>
      </c>
      <c r="H17" s="356">
        <v>9.5</v>
      </c>
      <c r="I17" s="356">
        <v>7.2</v>
      </c>
      <c r="J17" s="356">
        <v>6.9</v>
      </c>
      <c r="K17" s="356">
        <v>1.8</v>
      </c>
      <c r="L17" s="356">
        <v>2.1</v>
      </c>
      <c r="M17" s="352">
        <f t="shared" si="0"/>
        <v>9.5</v>
      </c>
      <c r="N17" s="352">
        <f t="shared" si="1"/>
        <v>1.8</v>
      </c>
    </row>
    <row r="18" spans="2:14" ht="15.75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64">
        <v>15</v>
      </c>
      <c r="G18" s="364">
        <v>14</v>
      </c>
      <c r="H18" s="364">
        <v>16</v>
      </c>
      <c r="I18" s="364">
        <v>15</v>
      </c>
      <c r="J18" s="364">
        <v>14</v>
      </c>
      <c r="K18" s="364">
        <v>14</v>
      </c>
      <c r="L18" s="364">
        <v>12</v>
      </c>
      <c r="M18" s="352">
        <f t="shared" si="0"/>
        <v>16</v>
      </c>
      <c r="N18" s="352">
        <f t="shared" si="1"/>
        <v>12</v>
      </c>
    </row>
    <row r="19" spans="2:14" ht="24.75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5.8000000000000003E-2</v>
      </c>
      <c r="G19" s="362">
        <v>3.3000000000000002E-2</v>
      </c>
      <c r="H19" s="361">
        <v>4.2000000000000003E-2</v>
      </c>
      <c r="I19" s="362">
        <v>0.08</v>
      </c>
      <c r="J19" s="362">
        <v>0.04</v>
      </c>
      <c r="K19" s="362">
        <v>7.0000000000000007E-2</v>
      </c>
      <c r="L19" s="360">
        <v>0.05</v>
      </c>
      <c r="M19" s="352">
        <f t="shared" si="0"/>
        <v>0.08</v>
      </c>
      <c r="N19" s="351">
        <f t="shared" si="1"/>
        <v>3.3000000000000002E-2</v>
      </c>
    </row>
    <row r="20" spans="2:14" ht="15.75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1.42</v>
      </c>
      <c r="G20" s="358">
        <v>1.22</v>
      </c>
      <c r="H20" s="358">
        <v>1.23</v>
      </c>
      <c r="I20" s="358">
        <v>1.44</v>
      </c>
      <c r="J20" s="358">
        <v>1.1299999999999999</v>
      </c>
      <c r="K20" s="358">
        <v>1.02</v>
      </c>
      <c r="L20" s="358">
        <v>0.8</v>
      </c>
      <c r="M20" s="352">
        <f t="shared" si="0"/>
        <v>1.44</v>
      </c>
      <c r="N20" s="352">
        <f t="shared" si="1"/>
        <v>0.8</v>
      </c>
    </row>
    <row r="21" spans="2:14" ht="15.75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8">
        <v>1</v>
      </c>
      <c r="G21" s="358">
        <v>1.2</v>
      </c>
      <c r="H21" s="358">
        <v>1</v>
      </c>
      <c r="I21" s="358">
        <v>0.9</v>
      </c>
      <c r="J21" s="358">
        <v>0.8</v>
      </c>
      <c r="K21" s="358">
        <v>0.8</v>
      </c>
      <c r="L21" s="356">
        <v>0.5</v>
      </c>
      <c r="M21" s="352">
        <f t="shared" si="0"/>
        <v>1.2</v>
      </c>
      <c r="N21" s="352">
        <f t="shared" si="1"/>
        <v>0.5</v>
      </c>
    </row>
    <row r="22" spans="2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71">
        <v>140</v>
      </c>
      <c r="G22" s="371">
        <v>145</v>
      </c>
      <c r="H22" s="371">
        <v>150</v>
      </c>
      <c r="I22" s="371">
        <v>165</v>
      </c>
      <c r="J22" s="371">
        <v>160</v>
      </c>
      <c r="K22" s="371">
        <v>155</v>
      </c>
      <c r="L22" s="371">
        <v>180</v>
      </c>
      <c r="M22" s="352">
        <f t="shared" si="0"/>
        <v>180</v>
      </c>
      <c r="N22" s="352">
        <f t="shared" si="1"/>
        <v>140</v>
      </c>
    </row>
    <row r="23" spans="2:14" ht="15.75" thickBot="1" x14ac:dyDescent="0.3">
      <c r="B23" s="367" t="s">
        <v>50</v>
      </c>
      <c r="C23" s="367" t="s">
        <v>54</v>
      </c>
      <c r="D23" s="367">
        <v>5</v>
      </c>
      <c r="E23" s="367" t="s">
        <v>37</v>
      </c>
      <c r="F23" s="353">
        <v>0.13100000000000001</v>
      </c>
      <c r="G23" s="353">
        <v>0.129</v>
      </c>
      <c r="H23" s="353">
        <v>0.11899999999999999</v>
      </c>
      <c r="I23" s="353">
        <v>0.17799999999999999</v>
      </c>
      <c r="J23" s="353">
        <v>0.14199999999999999</v>
      </c>
      <c r="K23" s="353">
        <v>0.77500000000000002</v>
      </c>
      <c r="L23" s="353">
        <v>0.96699999999999997</v>
      </c>
      <c r="M23" s="352">
        <f t="shared" si="0"/>
        <v>0.96699999999999997</v>
      </c>
      <c r="N23" s="352">
        <f t="shared" si="1"/>
        <v>0.11899999999999999</v>
      </c>
    </row>
    <row r="24" spans="2:14" ht="15.75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0.69</v>
      </c>
      <c r="G24" s="357">
        <v>0.25</v>
      </c>
      <c r="H24" s="357">
        <v>0.32</v>
      </c>
      <c r="I24" s="357">
        <v>0.22</v>
      </c>
      <c r="J24" s="357">
        <v>0.18</v>
      </c>
      <c r="K24" s="357">
        <v>0.23</v>
      </c>
      <c r="L24" s="357">
        <v>0.18</v>
      </c>
      <c r="M24" s="352">
        <f t="shared" si="0"/>
        <v>0.69</v>
      </c>
      <c r="N24" s="352">
        <f t="shared" si="1"/>
        <v>0.18</v>
      </c>
    </row>
    <row r="25" spans="2:14" ht="15.75" thickBot="1" x14ac:dyDescent="0.3">
      <c r="B25" s="367" t="s">
        <v>378</v>
      </c>
      <c r="C25" s="367" t="s">
        <v>54</v>
      </c>
      <c r="D25" s="367" t="s">
        <v>37</v>
      </c>
      <c r="E25" s="367" t="s">
        <v>37</v>
      </c>
      <c r="F25" s="376">
        <v>1021</v>
      </c>
      <c r="G25" s="376">
        <v>1122</v>
      </c>
      <c r="H25" s="376">
        <v>815</v>
      </c>
      <c r="I25" s="376">
        <v>717</v>
      </c>
      <c r="J25" s="376">
        <v>609</v>
      </c>
      <c r="K25" s="376">
        <v>199</v>
      </c>
      <c r="L25" s="377">
        <v>169</v>
      </c>
      <c r="M25" s="352">
        <f t="shared" si="0"/>
        <v>1122</v>
      </c>
      <c r="N25" s="352">
        <f t="shared" si="1"/>
        <v>169</v>
      </c>
    </row>
    <row r="26" spans="2:14" ht="15.75" thickBot="1" x14ac:dyDescent="0.3">
      <c r="B26" s="367" t="s">
        <v>377</v>
      </c>
      <c r="C26" s="367" t="s">
        <v>54</v>
      </c>
      <c r="D26" s="367">
        <v>500</v>
      </c>
      <c r="E26" s="367" t="s">
        <v>37</v>
      </c>
      <c r="F26" s="376">
        <v>9776</v>
      </c>
      <c r="G26" s="376">
        <v>6983</v>
      </c>
      <c r="H26" s="376">
        <v>6268</v>
      </c>
      <c r="I26" s="376">
        <v>6036</v>
      </c>
      <c r="J26" s="376">
        <v>5137</v>
      </c>
      <c r="K26" s="376">
        <v>777</v>
      </c>
      <c r="L26" s="377">
        <v>741</v>
      </c>
      <c r="M26" s="350">
        <f t="shared" si="0"/>
        <v>9776</v>
      </c>
      <c r="N26" s="350">
        <f t="shared" si="1"/>
        <v>741</v>
      </c>
    </row>
    <row r="27" spans="2:14" ht="15.75" thickBot="1" x14ac:dyDescent="0.3">
      <c r="B27" s="367" t="s">
        <v>379</v>
      </c>
      <c r="C27" s="367" t="s">
        <v>54</v>
      </c>
      <c r="D27" s="367" t="s">
        <v>37</v>
      </c>
      <c r="E27" s="368" t="s">
        <v>37</v>
      </c>
      <c r="F27" s="376">
        <v>1388</v>
      </c>
      <c r="G27" s="376">
        <v>749</v>
      </c>
      <c r="H27" s="376">
        <v>1376</v>
      </c>
      <c r="I27" s="376">
        <v>1330</v>
      </c>
      <c r="J27" s="376">
        <v>1007</v>
      </c>
      <c r="K27" s="376">
        <v>274</v>
      </c>
      <c r="L27" s="376">
        <v>228</v>
      </c>
      <c r="M27" s="352">
        <f t="shared" si="0"/>
        <v>1388</v>
      </c>
      <c r="N27" s="352">
        <f t="shared" si="1"/>
        <v>228</v>
      </c>
    </row>
    <row r="28" spans="2:14" ht="15.75" thickBot="1" x14ac:dyDescent="0.3">
      <c r="B28" s="367" t="s">
        <v>380</v>
      </c>
      <c r="C28" s="367" t="s">
        <v>54</v>
      </c>
      <c r="D28" s="367" t="s">
        <v>37</v>
      </c>
      <c r="E28" s="368" t="s">
        <v>37</v>
      </c>
      <c r="F28" s="363">
        <v>21</v>
      </c>
      <c r="G28" s="363">
        <v>12</v>
      </c>
      <c r="H28" s="363">
        <v>15</v>
      </c>
      <c r="I28" s="363">
        <v>13</v>
      </c>
      <c r="J28" s="363">
        <v>11</v>
      </c>
      <c r="K28" s="363">
        <v>5.63</v>
      </c>
      <c r="L28" s="363">
        <v>5.42</v>
      </c>
      <c r="M28" s="352">
        <f t="shared" si="0"/>
        <v>21</v>
      </c>
      <c r="N28" s="352">
        <f t="shared" si="1"/>
        <v>5.42</v>
      </c>
    </row>
    <row r="29" spans="2:14" ht="15.75" thickBot="1" x14ac:dyDescent="0.3">
      <c r="B29" s="367" t="s">
        <v>382</v>
      </c>
      <c r="C29" s="367" t="s">
        <v>54</v>
      </c>
      <c r="D29" s="367" t="s">
        <v>37</v>
      </c>
      <c r="E29" s="368" t="s">
        <v>37</v>
      </c>
      <c r="F29" s="363">
        <v>156</v>
      </c>
      <c r="G29" s="363">
        <v>141</v>
      </c>
      <c r="H29" s="363">
        <v>153</v>
      </c>
      <c r="I29" s="363">
        <v>168</v>
      </c>
      <c r="J29" s="363">
        <v>181</v>
      </c>
      <c r="K29" s="363">
        <v>129</v>
      </c>
      <c r="L29" s="363">
        <v>107</v>
      </c>
      <c r="M29" s="352">
        <f t="shared" si="0"/>
        <v>181</v>
      </c>
      <c r="N29" s="352">
        <f t="shared" si="1"/>
        <v>107</v>
      </c>
    </row>
    <row r="30" spans="2:14" ht="15.75" customHeight="1" thickBot="1" x14ac:dyDescent="0.3">
      <c r="B30" s="367" t="s">
        <v>381</v>
      </c>
      <c r="C30" s="367" t="s">
        <v>54</v>
      </c>
      <c r="D30" s="367" t="s">
        <v>37</v>
      </c>
      <c r="E30" s="367">
        <v>250</v>
      </c>
      <c r="F30" s="376">
        <v>9373</v>
      </c>
      <c r="G30" s="376">
        <v>6926</v>
      </c>
      <c r="H30" s="376">
        <v>6669</v>
      </c>
      <c r="I30" s="376">
        <v>6797</v>
      </c>
      <c r="J30" s="376">
        <v>5468</v>
      </c>
      <c r="K30" s="376">
        <v>3782</v>
      </c>
      <c r="L30" s="376">
        <v>4003</v>
      </c>
      <c r="M30" s="352">
        <f t="shared" si="0"/>
        <v>9373</v>
      </c>
      <c r="N30" s="352">
        <f t="shared" si="1"/>
        <v>3782</v>
      </c>
    </row>
    <row r="31" spans="2:14" ht="15.75" customHeight="1" thickBot="1" x14ac:dyDescent="0.3">
      <c r="B31" s="407" t="s">
        <v>293</v>
      </c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350">
        <f t="shared" si="0"/>
        <v>0</v>
      </c>
      <c r="N31" s="352">
        <f t="shared" si="1"/>
        <v>0</v>
      </c>
    </row>
    <row r="32" spans="2:14" ht="1.5" customHeight="1" thickBot="1" x14ac:dyDescent="0.3">
      <c r="M32" s="350">
        <f t="shared" si="0"/>
        <v>0</v>
      </c>
      <c r="N32" s="350">
        <f t="shared" si="1"/>
        <v>0</v>
      </c>
    </row>
    <row r="33" spans="2:14" ht="24.75" thickBot="1" x14ac:dyDescent="0.3">
      <c r="B33" s="367" t="s">
        <v>57</v>
      </c>
      <c r="C33" s="367" t="s">
        <v>58</v>
      </c>
      <c r="D33" s="368" t="s">
        <v>37</v>
      </c>
      <c r="E33" s="368" t="s">
        <v>37</v>
      </c>
      <c r="F33" s="364">
        <v>1100</v>
      </c>
      <c r="G33" s="364">
        <v>1100</v>
      </c>
      <c r="H33" s="364">
        <v>1100</v>
      </c>
      <c r="I33" s="364">
        <v>460</v>
      </c>
      <c r="J33" s="363">
        <v>460</v>
      </c>
      <c r="K33" s="363">
        <v>460</v>
      </c>
      <c r="L33" s="363">
        <v>460</v>
      </c>
      <c r="M33" s="350">
        <f t="shared" si="0"/>
        <v>1100</v>
      </c>
      <c r="N33" s="350">
        <f t="shared" si="1"/>
        <v>460</v>
      </c>
    </row>
    <row r="34" spans="2:14" ht="24.75" thickBot="1" x14ac:dyDescent="0.3">
      <c r="B34" s="367" t="s">
        <v>55</v>
      </c>
      <c r="C34" s="367" t="s">
        <v>58</v>
      </c>
      <c r="D34" s="367" t="s">
        <v>59</v>
      </c>
      <c r="E34" s="367" t="s">
        <v>59</v>
      </c>
      <c r="F34" s="364">
        <v>1100</v>
      </c>
      <c r="G34" s="364">
        <v>1100</v>
      </c>
      <c r="H34" s="364">
        <v>1100</v>
      </c>
      <c r="I34" s="363">
        <v>460</v>
      </c>
      <c r="J34" s="363">
        <v>460</v>
      </c>
      <c r="K34" s="363">
        <v>240</v>
      </c>
      <c r="L34" s="363">
        <v>240</v>
      </c>
      <c r="M34" s="350">
        <f t="shared" si="0"/>
        <v>1100</v>
      </c>
      <c r="N34" s="350">
        <f t="shared" si="1"/>
        <v>240</v>
      </c>
    </row>
    <row r="36" spans="2:14" ht="15.75" thickBot="1" x14ac:dyDescent="0.3">
      <c r="B36" s="26"/>
      <c r="C36" s="26"/>
    </row>
    <row r="37" spans="2:14" ht="15.75" thickBot="1" x14ac:dyDescent="0.3">
      <c r="B37" s="357" t="s">
        <v>89</v>
      </c>
      <c r="C37" s="357" t="s">
        <v>54</v>
      </c>
      <c r="D37" s="369"/>
      <c r="E37" s="369"/>
      <c r="F37" s="367">
        <v>1000</v>
      </c>
      <c r="G37" s="367">
        <v>1000</v>
      </c>
      <c r="H37" s="367">
        <v>1000</v>
      </c>
      <c r="I37" s="367">
        <v>1000</v>
      </c>
      <c r="J37" s="367">
        <v>1000</v>
      </c>
      <c r="K37" s="367">
        <v>1000</v>
      </c>
      <c r="L37" s="367">
        <v>1000</v>
      </c>
    </row>
    <row r="38" spans="2:14" ht="15.75" thickBot="1" x14ac:dyDescent="0.3">
      <c r="B38" s="357" t="s">
        <v>89</v>
      </c>
      <c r="C38" s="357" t="s">
        <v>54</v>
      </c>
      <c r="D38" s="369"/>
      <c r="E38" s="369"/>
      <c r="F38" s="367">
        <v>100</v>
      </c>
      <c r="G38" s="367">
        <v>100</v>
      </c>
      <c r="H38" s="367">
        <v>100</v>
      </c>
      <c r="I38" s="367">
        <v>100</v>
      </c>
      <c r="J38" s="367">
        <v>100</v>
      </c>
      <c r="K38" s="367">
        <v>100</v>
      </c>
      <c r="L38" s="367">
        <v>100</v>
      </c>
    </row>
    <row r="39" spans="2:14" ht="24.75" thickBot="1" x14ac:dyDescent="0.3">
      <c r="B39" s="357" t="s">
        <v>125</v>
      </c>
      <c r="C39" s="357" t="s">
        <v>54</v>
      </c>
      <c r="D39" s="369"/>
      <c r="E39" s="369"/>
      <c r="F39" s="367">
        <v>0.2</v>
      </c>
      <c r="G39" s="367">
        <v>0.2</v>
      </c>
      <c r="H39" s="367">
        <v>0.2</v>
      </c>
      <c r="I39" s="367">
        <v>0.2</v>
      </c>
      <c r="J39" s="367">
        <v>0.2</v>
      </c>
      <c r="K39" s="367">
        <v>0.2</v>
      </c>
      <c r="L39" s="367">
        <v>0.2</v>
      </c>
    </row>
    <row r="40" spans="2:14" ht="24.75" thickBot="1" x14ac:dyDescent="0.3">
      <c r="B40" s="357" t="s">
        <v>126</v>
      </c>
      <c r="C40" s="357" t="s">
        <v>54</v>
      </c>
      <c r="D40" s="369"/>
      <c r="E40" s="369"/>
      <c r="F40" s="367">
        <v>0.5</v>
      </c>
      <c r="G40" s="367">
        <v>0.5</v>
      </c>
      <c r="H40" s="367">
        <v>0.5</v>
      </c>
      <c r="I40" s="367">
        <v>0.5</v>
      </c>
      <c r="J40" s="367">
        <v>0.5</v>
      </c>
      <c r="K40" s="367">
        <v>0.5</v>
      </c>
      <c r="L40" s="367">
        <v>0.5</v>
      </c>
    </row>
    <row r="41" spans="2:14" ht="24.75" thickBot="1" x14ac:dyDescent="0.3">
      <c r="B41" s="357" t="s">
        <v>125</v>
      </c>
      <c r="C41" s="357" t="s">
        <v>54</v>
      </c>
      <c r="D41" s="369"/>
      <c r="E41" s="369"/>
      <c r="F41" s="367">
        <v>500</v>
      </c>
      <c r="G41" s="367">
        <v>500</v>
      </c>
      <c r="H41" s="367">
        <v>500</v>
      </c>
      <c r="I41" s="367">
        <v>500</v>
      </c>
      <c r="J41" s="367">
        <v>500</v>
      </c>
      <c r="K41" s="367">
        <v>500</v>
      </c>
      <c r="L41" s="367">
        <v>500</v>
      </c>
    </row>
    <row r="42" spans="2:14" ht="36.75" thickBot="1" x14ac:dyDescent="0.3">
      <c r="B42" s="357" t="s">
        <v>336</v>
      </c>
      <c r="C42" s="357" t="s">
        <v>54</v>
      </c>
      <c r="D42" s="369"/>
      <c r="E42" s="369"/>
      <c r="F42" s="367">
        <v>0.2</v>
      </c>
      <c r="G42" s="367">
        <v>0.2</v>
      </c>
      <c r="H42" s="367">
        <v>0.2</v>
      </c>
      <c r="I42" s="367">
        <v>0.2</v>
      </c>
      <c r="J42" s="367">
        <v>0.2</v>
      </c>
      <c r="K42" s="367">
        <v>0.2</v>
      </c>
      <c r="L42" s="367">
        <v>0.2</v>
      </c>
    </row>
    <row r="43" spans="2:14" ht="36.75" thickBot="1" x14ac:dyDescent="0.3">
      <c r="B43" s="357" t="s">
        <v>336</v>
      </c>
      <c r="C43" s="357" t="s">
        <v>54</v>
      </c>
      <c r="D43" s="369"/>
      <c r="E43" s="369"/>
      <c r="F43" s="367">
        <v>10</v>
      </c>
      <c r="G43" s="367">
        <v>10</v>
      </c>
      <c r="H43" s="367">
        <v>10</v>
      </c>
      <c r="I43" s="367">
        <v>10</v>
      </c>
      <c r="J43" s="367">
        <v>10</v>
      </c>
      <c r="K43" s="367">
        <v>10</v>
      </c>
      <c r="L43" s="367">
        <v>10</v>
      </c>
    </row>
    <row r="44" spans="2:14" ht="24.75" thickBot="1" x14ac:dyDescent="0.3">
      <c r="B44" s="357" t="s">
        <v>125</v>
      </c>
      <c r="C44" s="357" t="s">
        <v>54</v>
      </c>
      <c r="D44" s="369"/>
      <c r="E44" s="369"/>
      <c r="F44" s="367">
        <v>5</v>
      </c>
      <c r="G44" s="367">
        <v>5</v>
      </c>
      <c r="H44" s="367">
        <v>5</v>
      </c>
      <c r="I44" s="367">
        <v>5</v>
      </c>
      <c r="J44" s="367">
        <v>5</v>
      </c>
      <c r="K44" s="367">
        <v>5</v>
      </c>
      <c r="L44" s="367">
        <v>5</v>
      </c>
    </row>
    <row r="45" spans="2:14" ht="24.75" thickBot="1" x14ac:dyDescent="0.3">
      <c r="B45" s="357" t="s">
        <v>125</v>
      </c>
      <c r="C45" s="357" t="s">
        <v>54</v>
      </c>
      <c r="D45" s="369"/>
      <c r="E45" s="369"/>
      <c r="F45" s="367">
        <v>0.1</v>
      </c>
      <c r="G45" s="367">
        <v>0.1</v>
      </c>
      <c r="H45" s="367">
        <v>0.1</v>
      </c>
      <c r="I45" s="367">
        <v>0.1</v>
      </c>
      <c r="J45" s="367">
        <v>0.1</v>
      </c>
      <c r="K45" s="367">
        <v>0.1</v>
      </c>
      <c r="L45" s="367">
        <v>0.1</v>
      </c>
    </row>
    <row r="46" spans="2:14" ht="24.75" thickBot="1" x14ac:dyDescent="0.3">
      <c r="B46" s="357" t="s">
        <v>125</v>
      </c>
      <c r="C46" s="357" t="s">
        <v>54</v>
      </c>
      <c r="D46" s="369"/>
      <c r="E46" s="369"/>
      <c r="F46" s="367">
        <v>2</v>
      </c>
      <c r="G46" s="367">
        <v>2</v>
      </c>
      <c r="H46" s="367">
        <v>2</v>
      </c>
      <c r="I46" s="367">
        <v>2</v>
      </c>
      <c r="J46" s="367">
        <v>2</v>
      </c>
      <c r="K46" s="367">
        <v>2</v>
      </c>
      <c r="L46" s="367">
        <v>2</v>
      </c>
    </row>
  </sheetData>
  <mergeCells count="8">
    <mergeCell ref="B15:L15"/>
    <mergeCell ref="B31:L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showGridLines="0" view="pageBreakPreview" topLeftCell="A11" zoomScale="70" zoomScaleNormal="145" zoomScaleSheetLayoutView="70" workbookViewId="0">
      <selection activeCell="F34" sqref="F34:L34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408" t="s">
        <v>376</v>
      </c>
      <c r="C4" s="409"/>
      <c r="D4" s="409"/>
      <c r="E4" s="409"/>
      <c r="F4" s="409"/>
      <c r="G4" s="409"/>
      <c r="H4" s="409"/>
      <c r="I4" s="409"/>
      <c r="J4" s="409"/>
      <c r="K4" s="409"/>
      <c r="L4" s="409"/>
    </row>
    <row r="5" spans="2:14" ht="2.25" customHeight="1" thickBot="1" x14ac:dyDescent="0.3"/>
    <row r="6" spans="2:14" ht="24.75" customHeight="1" thickBot="1" x14ac:dyDescent="0.3">
      <c r="B6" s="410" t="s">
        <v>34</v>
      </c>
      <c r="C6" s="410" t="s">
        <v>296</v>
      </c>
      <c r="D6" s="412" t="s">
        <v>33</v>
      </c>
      <c r="E6" s="412"/>
      <c r="F6" s="413" t="s">
        <v>137</v>
      </c>
      <c r="G6" s="414"/>
      <c r="H6" s="414"/>
      <c r="I6" s="414"/>
      <c r="J6" s="414"/>
      <c r="K6" s="414"/>
      <c r="L6" s="415"/>
    </row>
    <row r="7" spans="2:14" ht="29.25" customHeight="1" thickBot="1" x14ac:dyDescent="0.3">
      <c r="B7" s="411"/>
      <c r="C7" s="411"/>
      <c r="D7" s="347" t="s">
        <v>298</v>
      </c>
      <c r="E7" s="348" t="s">
        <v>297</v>
      </c>
      <c r="F7" s="349" t="s">
        <v>27</v>
      </c>
      <c r="G7" s="349" t="s">
        <v>28</v>
      </c>
      <c r="H7" s="349" t="s">
        <v>29</v>
      </c>
      <c r="I7" s="349" t="s">
        <v>30</v>
      </c>
      <c r="J7" s="349" t="s">
        <v>31</v>
      </c>
      <c r="K7" s="349" t="s">
        <v>25</v>
      </c>
      <c r="L7" s="349" t="s">
        <v>32</v>
      </c>
    </row>
    <row r="8" spans="2:14" ht="3" customHeight="1" x14ac:dyDescent="0.25"/>
    <row r="9" spans="2:14" ht="15.75" customHeight="1" thickBot="1" x14ac:dyDescent="0.3">
      <c r="B9" s="407" t="s">
        <v>295</v>
      </c>
      <c r="C9" s="407"/>
      <c r="D9" s="407"/>
      <c r="E9" s="407"/>
      <c r="F9" s="407"/>
      <c r="G9" s="407"/>
      <c r="H9" s="407"/>
      <c r="I9" s="407"/>
      <c r="J9" s="407"/>
      <c r="K9" s="407"/>
      <c r="L9" s="407"/>
      <c r="M9" s="232" t="s">
        <v>372</v>
      </c>
      <c r="N9" s="232" t="s">
        <v>373</v>
      </c>
    </row>
    <row r="10" spans="2:14" ht="24.75" thickBot="1" x14ac:dyDescent="0.3">
      <c r="B10" s="365" t="s">
        <v>41</v>
      </c>
      <c r="C10" s="365" t="s">
        <v>64</v>
      </c>
      <c r="D10" s="365" t="s">
        <v>62</v>
      </c>
      <c r="E10" s="365" t="s">
        <v>63</v>
      </c>
      <c r="F10" s="372">
        <v>3260</v>
      </c>
      <c r="G10" s="372">
        <v>2330</v>
      </c>
      <c r="H10" s="372">
        <v>2960</v>
      </c>
      <c r="I10" s="372">
        <v>2790</v>
      </c>
      <c r="J10" s="372">
        <v>2360</v>
      </c>
      <c r="K10" s="373">
        <v>305</v>
      </c>
      <c r="L10" s="373">
        <v>301</v>
      </c>
      <c r="M10" s="350">
        <f>MAX(F10:L10)</f>
        <v>3260</v>
      </c>
      <c r="N10" s="350">
        <f>MIN(F10:L10)</f>
        <v>301</v>
      </c>
    </row>
    <row r="11" spans="2:14" ht="15.75" thickBot="1" x14ac:dyDescent="0.3">
      <c r="B11" s="365" t="s">
        <v>23</v>
      </c>
      <c r="C11" s="366" t="s">
        <v>37</v>
      </c>
      <c r="D11" s="366" t="s">
        <v>65</v>
      </c>
      <c r="E11" s="365" t="s">
        <v>66</v>
      </c>
      <c r="F11" s="374">
        <v>8.0299999999999994</v>
      </c>
      <c r="G11" s="374">
        <v>7.62</v>
      </c>
      <c r="H11" s="374">
        <v>7.9</v>
      </c>
      <c r="I11" s="374">
        <v>7.96</v>
      </c>
      <c r="J11" s="374">
        <v>8.14</v>
      </c>
      <c r="K11" s="374">
        <v>8.4700000000000006</v>
      </c>
      <c r="L11" s="374">
        <v>8.35</v>
      </c>
      <c r="M11" s="352">
        <f t="shared" ref="M11:M34" si="0">MAX(F11:L11)</f>
        <v>8.4700000000000006</v>
      </c>
      <c r="N11" s="352">
        <f t="shared" ref="N11:N34" si="1">MIN(F11:L11)</f>
        <v>7.62</v>
      </c>
    </row>
    <row r="12" spans="2:14" ht="24.75" thickBot="1" x14ac:dyDescent="0.3">
      <c r="B12" s="365" t="s">
        <v>38</v>
      </c>
      <c r="C12" s="365" t="s">
        <v>24</v>
      </c>
      <c r="D12" s="366" t="s">
        <v>37</v>
      </c>
      <c r="E12" s="366" t="s">
        <v>37</v>
      </c>
      <c r="F12" s="372">
        <v>1540</v>
      </c>
      <c r="G12" s="372">
        <v>1081</v>
      </c>
      <c r="H12" s="372">
        <v>1360</v>
      </c>
      <c r="I12" s="372">
        <v>1306</v>
      </c>
      <c r="J12" s="372">
        <v>1124</v>
      </c>
      <c r="K12" s="372">
        <v>143.80000000000001</v>
      </c>
      <c r="L12" s="373">
        <v>144.5</v>
      </c>
      <c r="M12" s="350">
        <f t="shared" si="0"/>
        <v>1540</v>
      </c>
      <c r="N12" s="350">
        <f t="shared" si="1"/>
        <v>143.80000000000001</v>
      </c>
    </row>
    <row r="13" spans="2:14" ht="15.75" thickBot="1" x14ac:dyDescent="0.3">
      <c r="B13" s="365" t="s">
        <v>39</v>
      </c>
      <c r="C13" s="365" t="s">
        <v>40</v>
      </c>
      <c r="D13" s="366" t="s">
        <v>37</v>
      </c>
      <c r="E13" s="366" t="s">
        <v>37</v>
      </c>
      <c r="F13" s="373">
        <v>29</v>
      </c>
      <c r="G13" s="373">
        <v>29.1</v>
      </c>
      <c r="H13" s="373">
        <v>30</v>
      </c>
      <c r="I13" s="373">
        <v>29</v>
      </c>
      <c r="J13" s="373">
        <v>28</v>
      </c>
      <c r="K13" s="373">
        <v>25.1</v>
      </c>
      <c r="L13" s="373">
        <v>24.4</v>
      </c>
      <c r="M13" s="350">
        <f t="shared" si="0"/>
        <v>30</v>
      </c>
      <c r="N13" s="350">
        <f t="shared" si="1"/>
        <v>24.4</v>
      </c>
    </row>
    <row r="14" spans="2:14" ht="15.75" thickBot="1" x14ac:dyDescent="0.3">
      <c r="B14" s="365" t="s">
        <v>327</v>
      </c>
      <c r="C14" s="365" t="s">
        <v>53</v>
      </c>
      <c r="D14" s="366" t="s">
        <v>37</v>
      </c>
      <c r="E14" s="366" t="s">
        <v>37</v>
      </c>
      <c r="F14" s="375">
        <v>7.17</v>
      </c>
      <c r="G14" s="375">
        <v>10.3</v>
      </c>
      <c r="H14" s="375">
        <v>7.54</v>
      </c>
      <c r="I14" s="375">
        <v>12.2</v>
      </c>
      <c r="J14" s="375">
        <v>13.3</v>
      </c>
      <c r="K14" s="375">
        <v>142</v>
      </c>
      <c r="L14" s="375">
        <v>46.7</v>
      </c>
      <c r="M14" s="350">
        <f t="shared" si="0"/>
        <v>142</v>
      </c>
      <c r="N14" s="350">
        <f t="shared" si="1"/>
        <v>7.17</v>
      </c>
    </row>
    <row r="15" spans="2:14" ht="15.75" customHeight="1" thickBot="1" x14ac:dyDescent="0.3">
      <c r="B15" s="407" t="s">
        <v>294</v>
      </c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350">
        <f t="shared" si="0"/>
        <v>0</v>
      </c>
      <c r="N15" s="350">
        <f t="shared" si="1"/>
        <v>0</v>
      </c>
    </row>
    <row r="16" spans="2:14" ht="1.5" customHeight="1" thickBot="1" x14ac:dyDescent="0.3">
      <c r="M16" s="350">
        <f t="shared" si="0"/>
        <v>0</v>
      </c>
      <c r="N16" s="350">
        <f t="shared" si="1"/>
        <v>0</v>
      </c>
    </row>
    <row r="17" spans="1:14" ht="15.75" thickBot="1" x14ac:dyDescent="0.3">
      <c r="B17" s="367" t="s">
        <v>326</v>
      </c>
      <c r="C17" s="367" t="s">
        <v>54</v>
      </c>
      <c r="D17" s="367">
        <v>100</v>
      </c>
      <c r="E17" s="367">
        <v>100</v>
      </c>
      <c r="F17" s="356">
        <v>27.1</v>
      </c>
      <c r="G17" s="364">
        <v>30.6</v>
      </c>
      <c r="H17" s="356">
        <v>29.9</v>
      </c>
      <c r="I17" s="356">
        <v>33.5</v>
      </c>
      <c r="J17" s="356">
        <v>40</v>
      </c>
      <c r="K17" s="356">
        <v>44.5</v>
      </c>
      <c r="L17" s="356">
        <v>82.4</v>
      </c>
      <c r="M17" s="352">
        <f t="shared" si="0"/>
        <v>82.4</v>
      </c>
      <c r="N17" s="352">
        <f t="shared" si="1"/>
        <v>27.1</v>
      </c>
    </row>
    <row r="18" spans="1:14" ht="15.75" thickBot="1" x14ac:dyDescent="0.3">
      <c r="B18" s="367" t="s">
        <v>374</v>
      </c>
      <c r="C18" s="367" t="s">
        <v>54</v>
      </c>
      <c r="D18" s="367">
        <v>10</v>
      </c>
      <c r="E18" s="368">
        <v>10</v>
      </c>
      <c r="F18" s="364">
        <v>7</v>
      </c>
      <c r="G18" s="378">
        <v>7</v>
      </c>
      <c r="H18" s="364">
        <v>11</v>
      </c>
      <c r="I18" s="364">
        <v>8</v>
      </c>
      <c r="J18" s="364">
        <v>8</v>
      </c>
      <c r="K18" s="364">
        <v>8</v>
      </c>
      <c r="L18" s="364">
        <v>8</v>
      </c>
      <c r="M18" s="352">
        <f t="shared" si="0"/>
        <v>11</v>
      </c>
      <c r="N18" s="352">
        <f t="shared" si="1"/>
        <v>7</v>
      </c>
    </row>
    <row r="19" spans="1:14" ht="24.75" thickBot="1" x14ac:dyDescent="0.3">
      <c r="B19" s="367" t="s">
        <v>333</v>
      </c>
      <c r="C19" s="367" t="s">
        <v>54</v>
      </c>
      <c r="D19" s="367" t="s">
        <v>69</v>
      </c>
      <c r="E19" s="367">
        <v>1</v>
      </c>
      <c r="F19" s="360">
        <v>2.8000000000000001E-2</v>
      </c>
      <c r="G19" s="362">
        <v>2.3E-2</v>
      </c>
      <c r="H19" s="361">
        <v>3.4000000000000002E-2</v>
      </c>
      <c r="I19" s="362">
        <v>6.5000000000000002E-2</v>
      </c>
      <c r="J19" s="362">
        <v>1.7999999999999999E-2</v>
      </c>
      <c r="K19" s="362">
        <v>4.5999999999999999E-2</v>
      </c>
      <c r="L19" s="360">
        <v>5.7000000000000002E-2</v>
      </c>
      <c r="M19" s="352">
        <f t="shared" si="0"/>
        <v>6.5000000000000002E-2</v>
      </c>
      <c r="N19" s="351">
        <f t="shared" si="1"/>
        <v>1.7999999999999999E-2</v>
      </c>
    </row>
    <row r="20" spans="1:14" ht="15.75" thickBot="1" x14ac:dyDescent="0.3">
      <c r="B20" s="367" t="s">
        <v>51</v>
      </c>
      <c r="C20" s="367" t="s">
        <v>54</v>
      </c>
      <c r="D20" s="367" t="s">
        <v>67</v>
      </c>
      <c r="E20" s="367" t="s">
        <v>68</v>
      </c>
      <c r="F20" s="358">
        <v>0.54</v>
      </c>
      <c r="G20" s="358">
        <v>4.01</v>
      </c>
      <c r="H20" s="358">
        <v>2.4</v>
      </c>
      <c r="I20" s="358">
        <v>2.89</v>
      </c>
      <c r="J20" s="358">
        <v>0.19</v>
      </c>
      <c r="K20" s="358">
        <v>0.81</v>
      </c>
      <c r="L20" s="358">
        <v>0.39</v>
      </c>
      <c r="M20" s="352">
        <f t="shared" si="0"/>
        <v>4.01</v>
      </c>
      <c r="N20" s="352">
        <f t="shared" si="1"/>
        <v>0.19</v>
      </c>
    </row>
    <row r="21" spans="1:14" ht="15.75" thickBot="1" x14ac:dyDescent="0.3">
      <c r="B21" s="367" t="s">
        <v>49</v>
      </c>
      <c r="C21" s="367" t="s">
        <v>54</v>
      </c>
      <c r="D21" s="367" t="s">
        <v>67</v>
      </c>
      <c r="E21" s="367" t="s">
        <v>67</v>
      </c>
      <c r="F21" s="358">
        <v>0.4</v>
      </c>
      <c r="G21" s="358">
        <v>0.3</v>
      </c>
      <c r="H21" s="358">
        <v>0.4</v>
      </c>
      <c r="I21" s="358">
        <v>0.6</v>
      </c>
      <c r="J21" s="358">
        <v>0.3</v>
      </c>
      <c r="K21" s="358">
        <v>0.7</v>
      </c>
      <c r="L21" s="356">
        <v>0.7</v>
      </c>
      <c r="M21" s="352">
        <f t="shared" si="0"/>
        <v>0.7</v>
      </c>
      <c r="N21" s="352">
        <f t="shared" si="1"/>
        <v>0.3</v>
      </c>
    </row>
    <row r="22" spans="1:14" ht="15.75" thickBot="1" x14ac:dyDescent="0.3">
      <c r="B22" s="367" t="s">
        <v>46</v>
      </c>
      <c r="C22" s="367" t="s">
        <v>54</v>
      </c>
      <c r="D22" s="367" t="s">
        <v>59</v>
      </c>
      <c r="E22" s="367" t="s">
        <v>59</v>
      </c>
      <c r="F22" s="371">
        <v>114</v>
      </c>
      <c r="G22" s="371">
        <v>102</v>
      </c>
      <c r="H22" s="371">
        <v>112</v>
      </c>
      <c r="I22" s="371">
        <v>108</v>
      </c>
      <c r="J22" s="371">
        <v>105</v>
      </c>
      <c r="K22" s="371">
        <v>76</v>
      </c>
      <c r="L22" s="371">
        <v>75</v>
      </c>
      <c r="M22" s="352">
        <f t="shared" si="0"/>
        <v>114</v>
      </c>
      <c r="N22" s="352">
        <f t="shared" si="1"/>
        <v>75</v>
      </c>
    </row>
    <row r="23" spans="1:14" ht="15.75" thickBot="1" x14ac:dyDescent="0.3">
      <c r="B23" s="367" t="s">
        <v>50</v>
      </c>
      <c r="C23" s="367" t="s">
        <v>54</v>
      </c>
      <c r="D23" s="367">
        <v>5</v>
      </c>
      <c r="E23" s="367" t="s">
        <v>37</v>
      </c>
      <c r="F23" s="353">
        <v>0.27</v>
      </c>
      <c r="G23" s="353">
        <v>0.38</v>
      </c>
      <c r="H23" s="353">
        <v>0.22</v>
      </c>
      <c r="I23" s="353">
        <v>0.35</v>
      </c>
      <c r="J23" s="353">
        <v>0.54</v>
      </c>
      <c r="K23" s="353">
        <v>2.19</v>
      </c>
      <c r="L23" s="353">
        <v>2.2200000000000002</v>
      </c>
      <c r="M23" s="352">
        <f t="shared" si="0"/>
        <v>2.2200000000000002</v>
      </c>
      <c r="N23" s="352">
        <f t="shared" si="1"/>
        <v>0.22</v>
      </c>
    </row>
    <row r="24" spans="1:14" ht="15.75" thickBot="1" x14ac:dyDescent="0.3">
      <c r="B24" s="367" t="s">
        <v>334</v>
      </c>
      <c r="C24" s="367" t="s">
        <v>54</v>
      </c>
      <c r="D24" s="367">
        <v>2</v>
      </c>
      <c r="E24" s="367">
        <v>24</v>
      </c>
      <c r="F24" s="357">
        <v>0.18</v>
      </c>
      <c r="G24" s="357">
        <v>0.08</v>
      </c>
      <c r="H24" s="357">
        <v>0.06</v>
      </c>
      <c r="I24" s="357">
        <v>0.01</v>
      </c>
      <c r="J24" s="357">
        <v>0.1</v>
      </c>
      <c r="K24" s="357">
        <v>0.32</v>
      </c>
      <c r="L24" s="357">
        <v>0.28999999999999998</v>
      </c>
      <c r="M24" s="352">
        <f t="shared" si="0"/>
        <v>0.32</v>
      </c>
      <c r="N24" s="352">
        <f t="shared" si="1"/>
        <v>0.01</v>
      </c>
    </row>
    <row r="25" spans="1:14" ht="15.75" thickBot="1" x14ac:dyDescent="0.3">
      <c r="A25" s="340"/>
      <c r="B25" s="367" t="s">
        <v>378</v>
      </c>
      <c r="C25" s="367" t="s">
        <v>54</v>
      </c>
      <c r="D25" s="367" t="s">
        <v>37</v>
      </c>
      <c r="E25" s="367" t="s">
        <v>37</v>
      </c>
      <c r="F25" s="376">
        <v>1018</v>
      </c>
      <c r="G25" s="376">
        <v>1032</v>
      </c>
      <c r="H25" s="376">
        <v>587</v>
      </c>
      <c r="I25" s="376">
        <v>717</v>
      </c>
      <c r="J25" s="376">
        <v>609</v>
      </c>
      <c r="K25" s="376">
        <v>199</v>
      </c>
      <c r="L25" s="377">
        <v>169</v>
      </c>
      <c r="M25" s="352">
        <f t="shared" si="0"/>
        <v>1032</v>
      </c>
      <c r="N25" s="352">
        <f t="shared" si="1"/>
        <v>169</v>
      </c>
    </row>
    <row r="26" spans="1:14" ht="15.75" thickBot="1" x14ac:dyDescent="0.3">
      <c r="B26" s="367" t="s">
        <v>377</v>
      </c>
      <c r="C26" s="367" t="s">
        <v>54</v>
      </c>
      <c r="D26" s="367">
        <v>500</v>
      </c>
      <c r="E26" s="367" t="s">
        <v>37</v>
      </c>
      <c r="F26" s="376">
        <v>8723</v>
      </c>
      <c r="G26" s="376">
        <v>6970</v>
      </c>
      <c r="H26" s="376">
        <v>4282</v>
      </c>
      <c r="I26" s="376">
        <v>5430</v>
      </c>
      <c r="J26" s="376">
        <v>5137</v>
      </c>
      <c r="K26" s="376">
        <v>777</v>
      </c>
      <c r="L26" s="377">
        <v>741</v>
      </c>
      <c r="M26" s="350">
        <f t="shared" si="0"/>
        <v>8723</v>
      </c>
      <c r="N26" s="350">
        <f t="shared" si="1"/>
        <v>741</v>
      </c>
    </row>
    <row r="27" spans="1:14" ht="15.75" thickBot="1" x14ac:dyDescent="0.3">
      <c r="B27" s="367" t="s">
        <v>379</v>
      </c>
      <c r="C27" s="367" t="s">
        <v>54</v>
      </c>
      <c r="D27" s="367" t="s">
        <v>37</v>
      </c>
      <c r="E27" s="368" t="s">
        <v>37</v>
      </c>
      <c r="F27" s="376">
        <v>1005</v>
      </c>
      <c r="G27" s="376">
        <v>467</v>
      </c>
      <c r="H27" s="376">
        <v>996</v>
      </c>
      <c r="I27" s="376">
        <v>1009</v>
      </c>
      <c r="J27" s="376">
        <v>1120</v>
      </c>
      <c r="K27" s="376">
        <v>289</v>
      </c>
      <c r="L27" s="376">
        <v>228</v>
      </c>
      <c r="M27" s="352">
        <f t="shared" si="0"/>
        <v>1120</v>
      </c>
      <c r="N27" s="352">
        <f t="shared" si="1"/>
        <v>228</v>
      </c>
    </row>
    <row r="28" spans="1:14" ht="15.75" thickBot="1" x14ac:dyDescent="0.3">
      <c r="B28" s="367" t="s">
        <v>380</v>
      </c>
      <c r="C28" s="367" t="s">
        <v>54</v>
      </c>
      <c r="D28" s="367" t="s">
        <v>37</v>
      </c>
      <c r="E28" s="368" t="s">
        <v>37</v>
      </c>
      <c r="F28" s="363">
        <v>19</v>
      </c>
      <c r="G28" s="363">
        <v>10</v>
      </c>
      <c r="H28" s="363">
        <v>12</v>
      </c>
      <c r="I28" s="363">
        <v>10</v>
      </c>
      <c r="J28" s="363">
        <v>10</v>
      </c>
      <c r="K28" s="363">
        <v>4</v>
      </c>
      <c r="L28" s="363">
        <v>3</v>
      </c>
      <c r="M28" s="352">
        <f t="shared" si="0"/>
        <v>19</v>
      </c>
      <c r="N28" s="352">
        <f t="shared" si="1"/>
        <v>3</v>
      </c>
    </row>
    <row r="29" spans="1:14" ht="15.75" thickBot="1" x14ac:dyDescent="0.3">
      <c r="B29" s="367" t="s">
        <v>382</v>
      </c>
      <c r="C29" s="367" t="s">
        <v>54</v>
      </c>
      <c r="D29" s="367" t="s">
        <v>37</v>
      </c>
      <c r="E29" s="368" t="s">
        <v>37</v>
      </c>
      <c r="F29" s="363">
        <v>148</v>
      </c>
      <c r="G29" s="363">
        <v>128</v>
      </c>
      <c r="H29" s="363">
        <v>124</v>
      </c>
      <c r="I29" s="363">
        <v>201</v>
      </c>
      <c r="J29" s="363">
        <v>197</v>
      </c>
      <c r="K29" s="363">
        <v>100</v>
      </c>
      <c r="L29" s="363">
        <v>107</v>
      </c>
      <c r="M29" s="352">
        <f t="shared" si="0"/>
        <v>201</v>
      </c>
      <c r="N29" s="352">
        <f t="shared" si="1"/>
        <v>100</v>
      </c>
    </row>
    <row r="30" spans="1:14" ht="15.75" customHeight="1" thickBot="1" x14ac:dyDescent="0.3">
      <c r="B30" s="367" t="s">
        <v>381</v>
      </c>
      <c r="C30" s="367" t="s">
        <v>54</v>
      </c>
      <c r="D30" s="367" t="s">
        <v>37</v>
      </c>
      <c r="E30" s="367">
        <v>250</v>
      </c>
      <c r="F30" s="376">
        <v>5823</v>
      </c>
      <c r="G30" s="376">
        <v>5229</v>
      </c>
      <c r="H30" s="376">
        <v>4993</v>
      </c>
      <c r="I30" s="376">
        <v>8992</v>
      </c>
      <c r="J30" s="376">
        <v>3685</v>
      </c>
      <c r="K30" s="376">
        <v>2420</v>
      </c>
      <c r="L30" s="376">
        <v>4003</v>
      </c>
      <c r="M30" s="352">
        <f t="shared" si="0"/>
        <v>8992</v>
      </c>
      <c r="N30" s="352">
        <f t="shared" si="1"/>
        <v>2420</v>
      </c>
    </row>
    <row r="31" spans="1:14" ht="15.75" customHeight="1" thickBot="1" x14ac:dyDescent="0.3">
      <c r="B31" s="407" t="s">
        <v>293</v>
      </c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350">
        <f t="shared" si="0"/>
        <v>0</v>
      </c>
      <c r="N31" s="352">
        <f t="shared" si="1"/>
        <v>0</v>
      </c>
    </row>
    <row r="32" spans="1:14" ht="1.5" customHeight="1" thickBot="1" x14ac:dyDescent="0.3">
      <c r="M32" s="350">
        <f t="shared" si="0"/>
        <v>0</v>
      </c>
      <c r="N32" s="350">
        <f t="shared" si="1"/>
        <v>0</v>
      </c>
    </row>
    <row r="33" spans="2:14" ht="24.75" thickBot="1" x14ac:dyDescent="0.3">
      <c r="B33" s="367" t="s">
        <v>57</v>
      </c>
      <c r="C33" s="367" t="s">
        <v>58</v>
      </c>
      <c r="D33" s="368" t="s">
        <v>37</v>
      </c>
      <c r="E33" s="368" t="s">
        <v>37</v>
      </c>
      <c r="F33" s="364">
        <v>1100</v>
      </c>
      <c r="G33" s="364">
        <v>1100</v>
      </c>
      <c r="H33" s="364">
        <v>1100</v>
      </c>
      <c r="I33" s="363">
        <v>460</v>
      </c>
      <c r="J33" s="363">
        <v>460</v>
      </c>
      <c r="K33" s="363">
        <v>460</v>
      </c>
      <c r="L33" s="363">
        <v>240</v>
      </c>
      <c r="M33" s="350">
        <f t="shared" si="0"/>
        <v>1100</v>
      </c>
      <c r="N33" s="350">
        <f t="shared" si="1"/>
        <v>240</v>
      </c>
    </row>
    <row r="34" spans="2:14" ht="24.75" thickBot="1" x14ac:dyDescent="0.3">
      <c r="B34" s="367" t="s">
        <v>55</v>
      </c>
      <c r="C34" s="367" t="s">
        <v>58</v>
      </c>
      <c r="D34" s="367" t="s">
        <v>59</v>
      </c>
      <c r="E34" s="367" t="s">
        <v>59</v>
      </c>
      <c r="F34" s="364">
        <v>1100</v>
      </c>
      <c r="G34" s="364">
        <v>1100</v>
      </c>
      <c r="H34" s="364">
        <v>1100</v>
      </c>
      <c r="I34" s="363">
        <v>460</v>
      </c>
      <c r="J34" s="363">
        <v>460</v>
      </c>
      <c r="K34" s="363">
        <v>460</v>
      </c>
      <c r="L34" s="363">
        <v>240</v>
      </c>
      <c r="M34" s="350">
        <f t="shared" si="0"/>
        <v>1100</v>
      </c>
      <c r="N34" s="350">
        <f t="shared" si="1"/>
        <v>240</v>
      </c>
    </row>
    <row r="36" spans="2:14" ht="15.75" thickBot="1" x14ac:dyDescent="0.3">
      <c r="B36" s="26"/>
      <c r="C36" s="26"/>
    </row>
    <row r="37" spans="2:14" ht="15.75" thickBot="1" x14ac:dyDescent="0.3">
      <c r="B37" s="357" t="s">
        <v>89</v>
      </c>
      <c r="C37" s="357" t="s">
        <v>54</v>
      </c>
      <c r="D37" s="369"/>
      <c r="E37" s="369"/>
      <c r="F37" s="367">
        <v>1000</v>
      </c>
      <c r="G37" s="367">
        <v>1000</v>
      </c>
      <c r="H37" s="367">
        <v>1000</v>
      </c>
      <c r="I37" s="367">
        <v>1000</v>
      </c>
      <c r="J37" s="367">
        <v>1000</v>
      </c>
      <c r="K37" s="367">
        <v>1000</v>
      </c>
      <c r="L37" s="367">
        <v>1000</v>
      </c>
    </row>
    <row r="38" spans="2:14" ht="15.75" thickBot="1" x14ac:dyDescent="0.3">
      <c r="B38" s="357" t="s">
        <v>89</v>
      </c>
      <c r="C38" s="357" t="s">
        <v>54</v>
      </c>
      <c r="D38" s="369"/>
      <c r="E38" s="369"/>
      <c r="F38" s="367">
        <v>100</v>
      </c>
      <c r="G38" s="367">
        <v>100</v>
      </c>
      <c r="H38" s="367">
        <v>100</v>
      </c>
      <c r="I38" s="367">
        <v>100</v>
      </c>
      <c r="J38" s="367">
        <v>100</v>
      </c>
      <c r="K38" s="367">
        <v>100</v>
      </c>
      <c r="L38" s="367">
        <v>100</v>
      </c>
    </row>
    <row r="39" spans="2:14" ht="24.75" thickBot="1" x14ac:dyDescent="0.3">
      <c r="B39" s="357" t="s">
        <v>125</v>
      </c>
      <c r="C39" s="357" t="s">
        <v>54</v>
      </c>
      <c r="D39" s="369"/>
      <c r="E39" s="369"/>
      <c r="F39" s="367">
        <v>0.2</v>
      </c>
      <c r="G39" s="367">
        <v>0.2</v>
      </c>
      <c r="H39" s="367">
        <v>0.2</v>
      </c>
      <c r="I39" s="367">
        <v>0.2</v>
      </c>
      <c r="J39" s="367">
        <v>0.2</v>
      </c>
      <c r="K39" s="367">
        <v>0.2</v>
      </c>
      <c r="L39" s="367">
        <v>0.2</v>
      </c>
    </row>
    <row r="40" spans="2:14" ht="24.75" thickBot="1" x14ac:dyDescent="0.3">
      <c r="B40" s="357" t="s">
        <v>126</v>
      </c>
      <c r="C40" s="357" t="s">
        <v>54</v>
      </c>
      <c r="D40" s="369"/>
      <c r="E40" s="369"/>
      <c r="F40" s="367">
        <v>0.5</v>
      </c>
      <c r="G40" s="367">
        <v>0.5</v>
      </c>
      <c r="H40" s="367">
        <v>0.5</v>
      </c>
      <c r="I40" s="367">
        <v>0.5</v>
      </c>
      <c r="J40" s="367">
        <v>0.5</v>
      </c>
      <c r="K40" s="367">
        <v>0.5</v>
      </c>
      <c r="L40" s="367">
        <v>0.5</v>
      </c>
    </row>
    <row r="41" spans="2:14" ht="24.75" thickBot="1" x14ac:dyDescent="0.3">
      <c r="B41" s="357" t="s">
        <v>125</v>
      </c>
      <c r="C41" s="357" t="s">
        <v>54</v>
      </c>
      <c r="D41" s="369"/>
      <c r="E41" s="369"/>
      <c r="F41" s="367">
        <v>500</v>
      </c>
      <c r="G41" s="367">
        <v>500</v>
      </c>
      <c r="H41" s="367">
        <v>500</v>
      </c>
      <c r="I41" s="367">
        <v>500</v>
      </c>
      <c r="J41" s="367">
        <v>500</v>
      </c>
      <c r="K41" s="367">
        <v>500</v>
      </c>
      <c r="L41" s="367">
        <v>500</v>
      </c>
    </row>
    <row r="42" spans="2:14" ht="36.75" thickBot="1" x14ac:dyDescent="0.3">
      <c r="B42" s="357" t="s">
        <v>336</v>
      </c>
      <c r="C42" s="357" t="s">
        <v>54</v>
      </c>
      <c r="D42" s="369"/>
      <c r="E42" s="369"/>
      <c r="F42" s="367">
        <v>0.2</v>
      </c>
      <c r="G42" s="367">
        <v>0.2</v>
      </c>
      <c r="H42" s="367">
        <v>0.2</v>
      </c>
      <c r="I42" s="367">
        <v>0.2</v>
      </c>
      <c r="J42" s="367">
        <v>0.2</v>
      </c>
      <c r="K42" s="367">
        <v>0.2</v>
      </c>
      <c r="L42" s="367">
        <v>0.2</v>
      </c>
    </row>
    <row r="43" spans="2:14" ht="36.75" thickBot="1" x14ac:dyDescent="0.3">
      <c r="B43" s="357" t="s">
        <v>336</v>
      </c>
      <c r="C43" s="357" t="s">
        <v>54</v>
      </c>
      <c r="D43" s="369"/>
      <c r="E43" s="369"/>
      <c r="F43" s="367">
        <v>10</v>
      </c>
      <c r="G43" s="367">
        <v>10</v>
      </c>
      <c r="H43" s="367">
        <v>10</v>
      </c>
      <c r="I43" s="367">
        <v>10</v>
      </c>
      <c r="J43" s="367">
        <v>10</v>
      </c>
      <c r="K43" s="367">
        <v>10</v>
      </c>
      <c r="L43" s="367">
        <v>10</v>
      </c>
    </row>
    <row r="44" spans="2:14" ht="24.75" thickBot="1" x14ac:dyDescent="0.3">
      <c r="B44" s="357" t="s">
        <v>125</v>
      </c>
      <c r="C44" s="357" t="s">
        <v>54</v>
      </c>
      <c r="D44" s="369"/>
      <c r="E44" s="369"/>
      <c r="F44" s="367">
        <v>5</v>
      </c>
      <c r="G44" s="367">
        <v>5</v>
      </c>
      <c r="H44" s="367">
        <v>5</v>
      </c>
      <c r="I44" s="367">
        <v>5</v>
      </c>
      <c r="J44" s="367">
        <v>5</v>
      </c>
      <c r="K44" s="367">
        <v>5</v>
      </c>
      <c r="L44" s="367">
        <v>5</v>
      </c>
    </row>
    <row r="45" spans="2:14" ht="24.75" thickBot="1" x14ac:dyDescent="0.3">
      <c r="B45" s="357" t="s">
        <v>125</v>
      </c>
      <c r="C45" s="357" t="s">
        <v>54</v>
      </c>
      <c r="D45" s="369"/>
      <c r="E45" s="369"/>
      <c r="F45" s="367">
        <v>0.1</v>
      </c>
      <c r="G45" s="367">
        <v>0.1</v>
      </c>
      <c r="H45" s="367">
        <v>0.1</v>
      </c>
      <c r="I45" s="367">
        <v>0.1</v>
      </c>
      <c r="J45" s="367">
        <v>0.1</v>
      </c>
      <c r="K45" s="367">
        <v>0.1</v>
      </c>
      <c r="L45" s="367">
        <v>0.1</v>
      </c>
    </row>
    <row r="46" spans="2:14" ht="24.75" thickBot="1" x14ac:dyDescent="0.3">
      <c r="B46" s="357" t="s">
        <v>125</v>
      </c>
      <c r="C46" s="357" t="s">
        <v>54</v>
      </c>
      <c r="D46" s="369"/>
      <c r="E46" s="369"/>
      <c r="F46" s="367">
        <v>2</v>
      </c>
      <c r="G46" s="367">
        <v>2</v>
      </c>
      <c r="H46" s="367">
        <v>2</v>
      </c>
      <c r="I46" s="367">
        <v>2</v>
      </c>
      <c r="J46" s="367">
        <v>2</v>
      </c>
      <c r="K46" s="367">
        <v>2</v>
      </c>
      <c r="L46" s="367">
        <v>2</v>
      </c>
    </row>
  </sheetData>
  <mergeCells count="8">
    <mergeCell ref="B15:L15"/>
    <mergeCell ref="B31:L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31"/>
  <sheetViews>
    <sheetView showGridLines="0" view="pageBreakPreview" topLeftCell="A7" zoomScaleNormal="145" zoomScaleSheetLayoutView="100" workbookViewId="0">
      <selection activeCell="B4" sqref="B4:L28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7" t="s">
        <v>371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4" ht="2.25" customHeight="1" thickBot="1" x14ac:dyDescent="0.3"/>
    <row r="6" spans="2:14" ht="24.75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4" ht="29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3.44*1000</f>
        <v>3440</v>
      </c>
      <c r="G10" s="67">
        <f>2.33*1000</f>
        <v>2330</v>
      </c>
      <c r="H10" s="67">
        <f>2.99*1000</f>
        <v>2990</v>
      </c>
      <c r="I10" s="67">
        <f>2.8*1000</f>
        <v>2800</v>
      </c>
      <c r="J10" s="67">
        <f>2.51*1000</f>
        <v>2510</v>
      </c>
      <c r="K10" s="67">
        <v>303</v>
      </c>
      <c r="L10" s="70">
        <v>320</v>
      </c>
      <c r="M10" s="340">
        <f>MAX(F10:L10)</f>
        <v>3440</v>
      </c>
      <c r="N10" s="340">
        <f>MIN(F10:L10)</f>
        <v>303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7.4</v>
      </c>
      <c r="G11" s="69">
        <v>7.2</v>
      </c>
      <c r="H11" s="69">
        <v>7.6040000000000001</v>
      </c>
      <c r="I11" s="69">
        <v>7.7220000000000004</v>
      </c>
      <c r="J11" s="69">
        <v>7.8129999999999997</v>
      </c>
      <c r="K11" s="69">
        <v>8.1489999999999991</v>
      </c>
      <c r="L11" s="28">
        <v>8</v>
      </c>
      <c r="M11" s="341">
        <f t="shared" ref="M11:M28" si="0">MAX(F11:L11)</f>
        <v>8.1489999999999991</v>
      </c>
      <c r="N11" s="341">
        <f t="shared" ref="N11:N28" si="1">MIN(F11:L11)</f>
        <v>7.2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f>F10/2</f>
        <v>1720</v>
      </c>
      <c r="G12" s="67">
        <f t="shared" ref="G12:L12" si="2">G10/2</f>
        <v>1165</v>
      </c>
      <c r="H12" s="67">
        <f t="shared" si="2"/>
        <v>1495</v>
      </c>
      <c r="I12" s="67">
        <f t="shared" si="2"/>
        <v>1400</v>
      </c>
      <c r="J12" s="67">
        <f t="shared" si="2"/>
        <v>1255</v>
      </c>
      <c r="K12" s="67">
        <f t="shared" si="2"/>
        <v>151.5</v>
      </c>
      <c r="L12" s="70">
        <f t="shared" si="2"/>
        <v>160</v>
      </c>
      <c r="M12" s="340">
        <f t="shared" si="0"/>
        <v>1720</v>
      </c>
      <c r="N12" s="340">
        <f t="shared" si="1"/>
        <v>151.5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24</v>
      </c>
      <c r="G13" s="343">
        <v>23.8</v>
      </c>
      <c r="H13" s="343">
        <v>23.9</v>
      </c>
      <c r="I13" s="343">
        <v>24.1</v>
      </c>
      <c r="J13" s="343">
        <v>24</v>
      </c>
      <c r="K13" s="343">
        <v>23.9</v>
      </c>
      <c r="L13" s="70">
        <v>23.9</v>
      </c>
      <c r="M13" s="340">
        <f t="shared" si="0"/>
        <v>24.1</v>
      </c>
      <c r="N13" s="340">
        <f t="shared" si="1"/>
        <v>23.8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7.05</v>
      </c>
      <c r="G14" s="4">
        <v>18.7</v>
      </c>
      <c r="H14" s="4">
        <v>12.3</v>
      </c>
      <c r="I14" s="4">
        <v>17.3</v>
      </c>
      <c r="J14" s="4">
        <v>25.7</v>
      </c>
      <c r="K14" s="4">
        <v>68</v>
      </c>
      <c r="L14" s="4">
        <v>69.900000000000006</v>
      </c>
      <c r="M14" s="340">
        <f t="shared" si="0"/>
        <v>69.900000000000006</v>
      </c>
      <c r="N14" s="340">
        <f t="shared" si="1"/>
        <v>7.05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si="0"/>
        <v>0</v>
      </c>
      <c r="N16" s="340">
        <f t="shared" si="1"/>
        <v>0</v>
      </c>
    </row>
    <row r="17" spans="2:14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44*5</f>
        <v>220</v>
      </c>
      <c r="G17" s="4">
        <f>33*5</f>
        <v>165</v>
      </c>
      <c r="H17" s="4">
        <f>46*5</f>
        <v>230</v>
      </c>
      <c r="I17" s="4">
        <f>38*5</f>
        <v>190</v>
      </c>
      <c r="J17" s="4">
        <f>37*5</f>
        <v>185</v>
      </c>
      <c r="K17" s="4">
        <f>34*5</f>
        <v>170</v>
      </c>
      <c r="L17" s="4">
        <f>32*5</f>
        <v>160</v>
      </c>
      <c r="M17" s="340">
        <f t="shared" si="0"/>
        <v>230</v>
      </c>
      <c r="N17" s="340">
        <f t="shared" si="1"/>
        <v>160</v>
      </c>
    </row>
    <row r="18" spans="2:14" ht="15.75" thickBot="1" x14ac:dyDescent="0.3">
      <c r="B18" s="4" t="s">
        <v>368</v>
      </c>
      <c r="C18" s="4" t="s">
        <v>54</v>
      </c>
      <c r="D18" s="4">
        <v>10</v>
      </c>
      <c r="E18" s="14">
        <v>10</v>
      </c>
      <c r="F18" s="338">
        <v>28</v>
      </c>
      <c r="G18" s="338">
        <v>27</v>
      </c>
      <c r="H18" s="338">
        <v>28</v>
      </c>
      <c r="I18" s="338">
        <v>28</v>
      </c>
      <c r="J18" s="338">
        <v>20</v>
      </c>
      <c r="K18" s="338">
        <v>34</v>
      </c>
      <c r="L18" s="338">
        <v>33</v>
      </c>
      <c r="M18" s="340">
        <f t="shared" si="0"/>
        <v>34</v>
      </c>
      <c r="N18" s="340">
        <f t="shared" si="1"/>
        <v>20</v>
      </c>
    </row>
    <row r="19" spans="2:14" ht="15.75" thickBot="1" x14ac:dyDescent="0.3">
      <c r="B19" s="4" t="s">
        <v>49</v>
      </c>
      <c r="C19" s="4" t="s">
        <v>54</v>
      </c>
      <c r="D19" s="4" t="s">
        <v>67</v>
      </c>
      <c r="E19" s="4" t="s">
        <v>67</v>
      </c>
      <c r="F19" s="338">
        <v>2.2999999999999998</v>
      </c>
      <c r="G19" s="338">
        <v>3.2</v>
      </c>
      <c r="H19" s="338">
        <v>3</v>
      </c>
      <c r="I19" s="338">
        <v>3.1</v>
      </c>
      <c r="J19" s="338">
        <v>3.3</v>
      </c>
      <c r="K19" s="339">
        <v>4</v>
      </c>
      <c r="L19" s="338">
        <v>3.1</v>
      </c>
      <c r="M19" s="342">
        <f t="shared" si="0"/>
        <v>4</v>
      </c>
      <c r="N19" s="342">
        <f t="shared" si="1"/>
        <v>2.2999999999999998</v>
      </c>
    </row>
    <row r="20" spans="2:14" ht="15.75" thickBot="1" x14ac:dyDescent="0.3">
      <c r="B20" s="4" t="s">
        <v>50</v>
      </c>
      <c r="C20" s="4" t="s">
        <v>54</v>
      </c>
      <c r="D20" s="4">
        <v>5</v>
      </c>
      <c r="E20" s="14" t="s">
        <v>37</v>
      </c>
      <c r="F20" s="4">
        <v>0.25600000000000001</v>
      </c>
      <c r="G20" s="4">
        <v>0.30099999999999999</v>
      </c>
      <c r="H20" s="4">
        <v>0.26400000000000001</v>
      </c>
      <c r="I20" s="4">
        <v>0.39900000000000002</v>
      </c>
      <c r="J20" s="4">
        <v>0.34399999999999997</v>
      </c>
      <c r="K20" s="4">
        <v>1.875</v>
      </c>
      <c r="L20" s="4">
        <v>1.6850000000000001</v>
      </c>
      <c r="M20" s="341">
        <f t="shared" si="0"/>
        <v>1.875</v>
      </c>
      <c r="N20" s="341">
        <f t="shared" si="1"/>
        <v>0.25600000000000001</v>
      </c>
    </row>
    <row r="21" spans="2:14" ht="15.75" thickBot="1" x14ac:dyDescent="0.3">
      <c r="B21" s="4" t="s">
        <v>51</v>
      </c>
      <c r="C21" s="4" t="s">
        <v>54</v>
      </c>
      <c r="D21" s="4" t="s">
        <v>67</v>
      </c>
      <c r="E21" s="4" t="s">
        <v>68</v>
      </c>
      <c r="F21" s="339">
        <v>1.08</v>
      </c>
      <c r="G21" s="339">
        <v>3.93</v>
      </c>
      <c r="H21" s="339">
        <v>3.86</v>
      </c>
      <c r="I21" s="339">
        <v>3.44</v>
      </c>
      <c r="J21" s="339">
        <v>1.4</v>
      </c>
      <c r="K21" s="339">
        <v>0.87</v>
      </c>
      <c r="L21" s="339">
        <v>0.46</v>
      </c>
      <c r="M21" s="344">
        <f t="shared" si="0"/>
        <v>3.93</v>
      </c>
      <c r="N21" s="344">
        <f t="shared" si="1"/>
        <v>0.46</v>
      </c>
    </row>
    <row r="22" spans="2:14" ht="24.75" thickBot="1" x14ac:dyDescent="0.3">
      <c r="B22" s="4" t="s">
        <v>52</v>
      </c>
      <c r="C22" s="4" t="s">
        <v>54</v>
      </c>
      <c r="D22" s="4" t="s">
        <v>69</v>
      </c>
      <c r="E22" s="4">
        <v>1</v>
      </c>
      <c r="F22" s="84">
        <v>5.8000000000000003E-2</v>
      </c>
      <c r="G22" s="84">
        <v>2.5999999999999999E-2</v>
      </c>
      <c r="H22" s="84">
        <v>0.02</v>
      </c>
      <c r="I22" s="84">
        <v>0.03</v>
      </c>
      <c r="J22" s="84">
        <v>0.01</v>
      </c>
      <c r="K22" s="84">
        <v>0.02</v>
      </c>
      <c r="L22" s="84">
        <v>7.0000000000000007E-2</v>
      </c>
      <c r="M22" s="341">
        <f t="shared" si="0"/>
        <v>7.0000000000000007E-2</v>
      </c>
      <c r="N22" s="341">
        <f t="shared" si="1"/>
        <v>0.01</v>
      </c>
    </row>
    <row r="23" spans="2:14" ht="15.75" customHeight="1" thickBot="1" x14ac:dyDescent="0.3">
      <c r="B23" s="4" t="s">
        <v>334</v>
      </c>
      <c r="C23" s="4" t="s">
        <v>54</v>
      </c>
      <c r="D23" s="4">
        <v>2</v>
      </c>
      <c r="E23" s="4">
        <v>24</v>
      </c>
      <c r="F23" s="4">
        <v>0.5</v>
      </c>
      <c r="G23" s="4">
        <v>0.34</v>
      </c>
      <c r="H23" s="4">
        <v>0.44</v>
      </c>
      <c r="I23" s="4">
        <v>0.35</v>
      </c>
      <c r="J23" s="4">
        <v>0.34</v>
      </c>
      <c r="K23" s="4">
        <v>0.6</v>
      </c>
      <c r="L23" s="4">
        <v>0.56000000000000005</v>
      </c>
      <c r="M23" s="341">
        <f t="shared" si="0"/>
        <v>0.6</v>
      </c>
      <c r="N23" s="341">
        <f t="shared" si="1"/>
        <v>0.34</v>
      </c>
    </row>
    <row r="24" spans="2:14" ht="15.75" customHeight="1" thickBot="1" x14ac:dyDescent="0.3">
      <c r="B24" s="416" t="s">
        <v>293</v>
      </c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340">
        <f t="shared" si="0"/>
        <v>0</v>
      </c>
      <c r="N24" s="340">
        <f t="shared" si="1"/>
        <v>0</v>
      </c>
    </row>
    <row r="25" spans="2:14" ht="1.5" customHeight="1" x14ac:dyDescent="0.25">
      <c r="M25" s="340">
        <f t="shared" si="0"/>
        <v>0</v>
      </c>
      <c r="N25" s="340">
        <f t="shared" si="1"/>
        <v>0</v>
      </c>
    </row>
    <row r="26" spans="2:14" ht="1.5" customHeight="1" thickBot="1" x14ac:dyDescent="0.3">
      <c r="M26" s="340">
        <f t="shared" si="0"/>
        <v>0</v>
      </c>
      <c r="N26" s="340">
        <f t="shared" si="1"/>
        <v>0</v>
      </c>
    </row>
    <row r="27" spans="2:14" ht="24.75" thickBot="1" x14ac:dyDescent="0.3">
      <c r="B27" s="4" t="s">
        <v>57</v>
      </c>
      <c r="C27" s="4" t="s">
        <v>58</v>
      </c>
      <c r="D27" s="14" t="s">
        <v>37</v>
      </c>
      <c r="E27" s="14" t="s">
        <v>37</v>
      </c>
      <c r="F27" s="70">
        <v>1100</v>
      </c>
      <c r="G27" s="70">
        <v>460</v>
      </c>
      <c r="H27" s="70">
        <v>460</v>
      </c>
      <c r="I27" s="70">
        <v>460</v>
      </c>
      <c r="J27" s="70">
        <v>460</v>
      </c>
      <c r="K27" s="70">
        <v>240</v>
      </c>
      <c r="L27" s="70">
        <v>150</v>
      </c>
      <c r="M27" s="340">
        <f t="shared" si="0"/>
        <v>1100</v>
      </c>
      <c r="N27" s="340">
        <f t="shared" si="1"/>
        <v>150</v>
      </c>
    </row>
    <row r="28" spans="2:14" ht="24.75" thickBot="1" x14ac:dyDescent="0.3">
      <c r="B28" s="4" t="s">
        <v>55</v>
      </c>
      <c r="C28" s="4" t="s">
        <v>58</v>
      </c>
      <c r="D28" s="4" t="s">
        <v>59</v>
      </c>
      <c r="E28" s="4" t="s">
        <v>59</v>
      </c>
      <c r="F28" s="70">
        <v>1100</v>
      </c>
      <c r="G28" s="70">
        <v>460</v>
      </c>
      <c r="H28" s="70">
        <v>240</v>
      </c>
      <c r="I28" s="70">
        <v>210</v>
      </c>
      <c r="J28" s="70">
        <v>240</v>
      </c>
      <c r="K28" s="70">
        <v>93</v>
      </c>
      <c r="L28" s="70">
        <v>93</v>
      </c>
      <c r="M28" s="340">
        <f t="shared" si="0"/>
        <v>1100</v>
      </c>
      <c r="N28" s="340">
        <f t="shared" si="1"/>
        <v>93</v>
      </c>
    </row>
    <row r="30" spans="2:14" x14ac:dyDescent="0.25">
      <c r="B30" s="26"/>
      <c r="C30" s="26"/>
    </row>
    <row r="31" spans="2:14" x14ac:dyDescent="0.25">
      <c r="B31" s="26"/>
      <c r="C31" s="26"/>
    </row>
  </sheetData>
  <mergeCells count="8">
    <mergeCell ref="B9:L9"/>
    <mergeCell ref="B15:L15"/>
    <mergeCell ref="B24:L24"/>
    <mergeCell ref="B4:L4"/>
    <mergeCell ref="B6:B7"/>
    <mergeCell ref="C6:C7"/>
    <mergeCell ref="D6:E6"/>
    <mergeCell ref="F6:L6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drawing r:id="rId2"/>
  <legacyDrawing r:id="rId3"/>
  <oleObjects>
    <mc:AlternateContent xmlns:mc="http://schemas.openxmlformats.org/markup-compatibility/2006">
      <mc:Choice Requires="x14">
        <oleObject progId="Paint.Picture" shapeId="38913" r:id="rId4">
          <objectPr defaultSize="0" autoPict="0" r:id="rId5">
            <anchor moveWithCells="1">
              <from>
                <xdr:col>14</xdr:col>
                <xdr:colOff>285750</xdr:colOff>
                <xdr:row>3</xdr:row>
                <xdr:rowOff>85725</xdr:rowOff>
              </from>
              <to>
                <xdr:col>21</xdr:col>
                <xdr:colOff>219075</xdr:colOff>
                <xdr:row>21</xdr:row>
                <xdr:rowOff>285750</xdr:rowOff>
              </to>
            </anchor>
          </objectPr>
        </oleObject>
      </mc:Choice>
      <mc:Fallback>
        <oleObject progId="Paint.Picture" shapeId="38913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32"/>
  <sheetViews>
    <sheetView showGridLines="0" view="pageBreakPreview" topLeftCell="A13" zoomScaleNormal="145" zoomScaleSheetLayoutView="100" workbookViewId="0">
      <selection activeCell="F28" sqref="F28:L2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7" t="s">
        <v>369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4" ht="2.25" customHeight="1" thickBot="1" x14ac:dyDescent="0.3"/>
    <row r="6" spans="2:14" ht="24.75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4" ht="29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3.39*1000</f>
        <v>3390</v>
      </c>
      <c r="G10" s="67">
        <f>2.29*1000</f>
        <v>2290</v>
      </c>
      <c r="H10" s="67">
        <f>2.97*1000</f>
        <v>2970</v>
      </c>
      <c r="I10" s="67">
        <f>2.5*1000</f>
        <v>2500</v>
      </c>
      <c r="J10" s="67">
        <f>2.49*1000</f>
        <v>2490</v>
      </c>
      <c r="K10" s="67">
        <v>301</v>
      </c>
      <c r="L10" s="70">
        <v>315</v>
      </c>
      <c r="M10" s="340">
        <f>MAX(F10:L10)</f>
        <v>3390</v>
      </c>
      <c r="N10" s="340">
        <f>MIN(F10:L10)</f>
        <v>301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7.5</v>
      </c>
      <c r="G11" s="69">
        <v>7.1</v>
      </c>
      <c r="H11" s="69">
        <v>7.59</v>
      </c>
      <c r="I11" s="69">
        <v>7.62</v>
      </c>
      <c r="J11" s="69">
        <v>7.8</v>
      </c>
      <c r="K11" s="69">
        <v>7.95</v>
      </c>
      <c r="L11" s="28">
        <v>8</v>
      </c>
      <c r="M11" s="341">
        <f t="shared" ref="M11:M29" si="0">MAX(F11:L11)</f>
        <v>8</v>
      </c>
      <c r="N11" s="341">
        <f t="shared" ref="N11:N29" si="1">MIN(F11:L11)</f>
        <v>7.1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345">
        <v>1695</v>
      </c>
      <c r="G12" s="345">
        <v>1145</v>
      </c>
      <c r="H12" s="345">
        <v>1485</v>
      </c>
      <c r="I12" s="345">
        <v>1250</v>
      </c>
      <c r="J12" s="345">
        <v>1245</v>
      </c>
      <c r="K12" s="345">
        <v>150.5</v>
      </c>
      <c r="L12" s="70">
        <f>L10/2</f>
        <v>157.5</v>
      </c>
      <c r="M12" s="340">
        <f t="shared" si="0"/>
        <v>1695</v>
      </c>
      <c r="N12" s="340">
        <f t="shared" si="1"/>
        <v>150.5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24</v>
      </c>
      <c r="G13" s="343">
        <v>23.8</v>
      </c>
      <c r="H13" s="343">
        <v>23.9</v>
      </c>
      <c r="I13" s="343">
        <v>24.1</v>
      </c>
      <c r="J13" s="343">
        <v>24</v>
      </c>
      <c r="K13" s="343">
        <v>23.9</v>
      </c>
      <c r="L13" s="70">
        <v>23.9</v>
      </c>
      <c r="M13" s="340">
        <f t="shared" si="0"/>
        <v>24.1</v>
      </c>
      <c r="N13" s="340">
        <f t="shared" si="1"/>
        <v>23.8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3.61</v>
      </c>
      <c r="G14" s="4">
        <v>3.68</v>
      </c>
      <c r="H14" s="4">
        <v>5.69</v>
      </c>
      <c r="I14" s="4">
        <v>9.6199999999999992</v>
      </c>
      <c r="J14" s="4">
        <v>28.6</v>
      </c>
      <c r="K14" s="4">
        <v>40.200000000000003</v>
      </c>
      <c r="L14" s="4">
        <v>89</v>
      </c>
      <c r="M14" s="340">
        <f t="shared" si="0"/>
        <v>89</v>
      </c>
      <c r="N14" s="340">
        <f t="shared" si="1"/>
        <v>3.61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si="0"/>
        <v>0</v>
      </c>
      <c r="N16" s="340">
        <f t="shared" si="1"/>
        <v>0</v>
      </c>
    </row>
    <row r="17" spans="2:14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30*5</f>
        <v>150</v>
      </c>
      <c r="G17" s="4">
        <f>31*5</f>
        <v>155</v>
      </c>
      <c r="H17" s="4">
        <f>37*5</f>
        <v>185</v>
      </c>
      <c r="I17" s="4">
        <f>36*5</f>
        <v>180</v>
      </c>
      <c r="J17" s="4">
        <f>32*5</f>
        <v>160</v>
      </c>
      <c r="K17" s="4">
        <f>30*5</f>
        <v>150</v>
      </c>
      <c r="L17" s="4">
        <f>31*5</f>
        <v>155</v>
      </c>
      <c r="M17" s="340">
        <f t="shared" si="0"/>
        <v>185</v>
      </c>
      <c r="N17" s="340">
        <f t="shared" si="1"/>
        <v>150</v>
      </c>
    </row>
    <row r="18" spans="2:14" ht="15.75" thickBot="1" x14ac:dyDescent="0.3">
      <c r="B18" s="4" t="s">
        <v>48</v>
      </c>
      <c r="C18" s="4" t="s">
        <v>54</v>
      </c>
      <c r="D18" s="4">
        <v>100</v>
      </c>
      <c r="E18" s="4">
        <v>100</v>
      </c>
      <c r="F18" s="4">
        <v>34</v>
      </c>
      <c r="G18" s="4">
        <v>27.5</v>
      </c>
      <c r="H18" s="4">
        <v>29.3</v>
      </c>
      <c r="I18" s="4">
        <v>54.9</v>
      </c>
      <c r="J18" s="4">
        <v>33.9</v>
      </c>
      <c r="K18" s="4">
        <v>38.799999999999997</v>
      </c>
      <c r="L18" s="4">
        <v>7.7</v>
      </c>
      <c r="M18" s="340">
        <f t="shared" si="0"/>
        <v>54.9</v>
      </c>
      <c r="N18" s="340">
        <f t="shared" si="1"/>
        <v>7.7</v>
      </c>
    </row>
    <row r="19" spans="2:14" ht="15.75" thickBot="1" x14ac:dyDescent="0.3">
      <c r="B19" s="4" t="s">
        <v>368</v>
      </c>
      <c r="C19" s="4" t="s">
        <v>54</v>
      </c>
      <c r="D19" s="4">
        <v>10</v>
      </c>
      <c r="E19" s="14">
        <v>10</v>
      </c>
      <c r="F19" s="338">
        <v>17</v>
      </c>
      <c r="G19" s="338">
        <v>18</v>
      </c>
      <c r="H19" s="338">
        <v>16</v>
      </c>
      <c r="I19" s="338">
        <v>16</v>
      </c>
      <c r="J19" s="338">
        <v>16</v>
      </c>
      <c r="K19" s="338">
        <v>14</v>
      </c>
      <c r="L19" s="338">
        <v>15</v>
      </c>
      <c r="M19" s="340">
        <f t="shared" si="0"/>
        <v>18</v>
      </c>
      <c r="N19" s="340">
        <f t="shared" si="1"/>
        <v>14</v>
      </c>
    </row>
    <row r="20" spans="2:14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338">
        <v>1</v>
      </c>
      <c r="G20" s="338">
        <v>1.9</v>
      </c>
      <c r="H20" s="338">
        <v>1.2</v>
      </c>
      <c r="I20" s="338">
        <v>1</v>
      </c>
      <c r="J20" s="338">
        <v>0.8</v>
      </c>
      <c r="K20" s="339">
        <v>0.7</v>
      </c>
      <c r="L20" s="338">
        <v>0.7</v>
      </c>
      <c r="M20" s="342">
        <f t="shared" si="0"/>
        <v>1.9</v>
      </c>
      <c r="N20" s="342">
        <f t="shared" si="1"/>
        <v>0.7</v>
      </c>
    </row>
    <row r="21" spans="2:14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4">
        <v>0.14299999999999999</v>
      </c>
      <c r="G21" s="4">
        <v>0.219</v>
      </c>
      <c r="H21" s="4">
        <v>0.31900000000000001</v>
      </c>
      <c r="I21" s="4">
        <v>0.187</v>
      </c>
      <c r="J21" s="4">
        <v>0.12</v>
      </c>
      <c r="K21" s="4">
        <v>0.875</v>
      </c>
      <c r="L21" s="4">
        <v>1.6970000000000001</v>
      </c>
      <c r="M21" s="341">
        <f t="shared" si="0"/>
        <v>1.6970000000000001</v>
      </c>
      <c r="N21" s="341">
        <f t="shared" si="1"/>
        <v>0.12</v>
      </c>
    </row>
    <row r="22" spans="2:14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339">
        <v>1.54</v>
      </c>
      <c r="G22" s="339">
        <v>1.44</v>
      </c>
      <c r="H22" s="339">
        <v>3.76</v>
      </c>
      <c r="I22" s="339">
        <v>3.49</v>
      </c>
      <c r="J22" s="339">
        <v>1.19</v>
      </c>
      <c r="K22" s="339">
        <v>0.88</v>
      </c>
      <c r="L22" s="339">
        <v>0.5</v>
      </c>
      <c r="M22" s="344">
        <f t="shared" si="0"/>
        <v>3.76</v>
      </c>
      <c r="N22" s="344">
        <f t="shared" si="1"/>
        <v>0.5</v>
      </c>
    </row>
    <row r="23" spans="2:14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84">
        <v>5.8000000000000003E-2</v>
      </c>
      <c r="G23" s="84">
        <v>2.5999999999999999E-2</v>
      </c>
      <c r="H23" s="84">
        <v>0.02</v>
      </c>
      <c r="I23" s="84">
        <v>0.03</v>
      </c>
      <c r="J23" s="84">
        <v>0.01</v>
      </c>
      <c r="K23" s="84">
        <v>0.02</v>
      </c>
      <c r="L23" s="84">
        <v>7.0000000000000007E-2</v>
      </c>
      <c r="M23" s="341">
        <f t="shared" si="0"/>
        <v>7.0000000000000007E-2</v>
      </c>
      <c r="N23" s="341">
        <f t="shared" si="1"/>
        <v>0.01</v>
      </c>
    </row>
    <row r="24" spans="2:14" ht="15.75" customHeight="1" thickBot="1" x14ac:dyDescent="0.3">
      <c r="B24" s="4" t="s">
        <v>334</v>
      </c>
      <c r="C24" s="4" t="s">
        <v>54</v>
      </c>
      <c r="D24" s="4">
        <v>2</v>
      </c>
      <c r="E24" s="4">
        <v>24</v>
      </c>
      <c r="F24" s="4">
        <v>0.17</v>
      </c>
      <c r="G24" s="4">
        <v>0.19</v>
      </c>
      <c r="H24" s="4">
        <v>0.2</v>
      </c>
      <c r="I24" s="4">
        <v>0.18</v>
      </c>
      <c r="J24" s="4">
        <v>0.2</v>
      </c>
      <c r="K24" s="4">
        <v>0.12</v>
      </c>
      <c r="L24" s="4">
        <v>0.11</v>
      </c>
      <c r="M24" s="341">
        <f t="shared" si="0"/>
        <v>0.2</v>
      </c>
      <c r="N24" s="341">
        <f t="shared" si="1"/>
        <v>0.11</v>
      </c>
    </row>
    <row r="25" spans="2:14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340">
        <f t="shared" si="0"/>
        <v>0</v>
      </c>
      <c r="N25" s="340">
        <f t="shared" si="1"/>
        <v>0</v>
      </c>
    </row>
    <row r="26" spans="2:14" ht="1.5" customHeight="1" x14ac:dyDescent="0.25">
      <c r="M26" s="340">
        <f t="shared" si="0"/>
        <v>0</v>
      </c>
      <c r="N26" s="340">
        <f t="shared" si="1"/>
        <v>0</v>
      </c>
    </row>
    <row r="27" spans="2:14" ht="1.5" customHeight="1" thickBot="1" x14ac:dyDescent="0.3">
      <c r="M27" s="340">
        <f t="shared" si="0"/>
        <v>0</v>
      </c>
      <c r="N27" s="340">
        <f t="shared" si="1"/>
        <v>0</v>
      </c>
    </row>
    <row r="28" spans="2:14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70">
        <v>1100</v>
      </c>
      <c r="G28" s="70">
        <v>460</v>
      </c>
      <c r="H28" s="70">
        <v>460</v>
      </c>
      <c r="I28" s="70">
        <v>460</v>
      </c>
      <c r="J28" s="70">
        <v>460</v>
      </c>
      <c r="K28" s="70">
        <v>240</v>
      </c>
      <c r="L28" s="70">
        <v>150</v>
      </c>
      <c r="M28" s="340">
        <f t="shared" si="0"/>
        <v>1100</v>
      </c>
      <c r="N28" s="340">
        <f t="shared" si="1"/>
        <v>150</v>
      </c>
    </row>
    <row r="29" spans="2:14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70">
        <v>1100</v>
      </c>
      <c r="G29" s="70">
        <v>460</v>
      </c>
      <c r="H29" s="70">
        <v>240</v>
      </c>
      <c r="I29" s="70">
        <v>210</v>
      </c>
      <c r="J29" s="70">
        <v>240</v>
      </c>
      <c r="K29" s="70">
        <v>93</v>
      </c>
      <c r="L29" s="70">
        <v>93</v>
      </c>
      <c r="M29" s="340">
        <f t="shared" si="0"/>
        <v>1100</v>
      </c>
      <c r="N29" s="340">
        <f t="shared" si="1"/>
        <v>93</v>
      </c>
    </row>
    <row r="31" spans="2:14" x14ac:dyDescent="0.25">
      <c r="B31" s="26"/>
      <c r="C31" s="26"/>
    </row>
    <row r="32" spans="2:14" x14ac:dyDescent="0.25">
      <c r="B32" s="26"/>
      <c r="C32" s="26"/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drawing r:id="rId2"/>
  <legacyDrawing r:id="rId3"/>
  <oleObjects>
    <mc:AlternateContent xmlns:mc="http://schemas.openxmlformats.org/markup-compatibility/2006">
      <mc:Choice Requires="x14">
        <oleObject progId="Paint.Picture" shapeId="52225" r:id="rId4">
          <objectPr defaultSize="0" autoPict="0" r:id="rId5">
            <anchor moveWithCells="1">
              <from>
                <xdr:col>14</xdr:col>
                <xdr:colOff>285750</xdr:colOff>
                <xdr:row>3</xdr:row>
                <xdr:rowOff>85725</xdr:rowOff>
              </from>
              <to>
                <xdr:col>21</xdr:col>
                <xdr:colOff>219075</xdr:colOff>
                <xdr:row>22</xdr:row>
                <xdr:rowOff>114300</xdr:rowOff>
              </to>
            </anchor>
          </objectPr>
        </oleObject>
      </mc:Choice>
      <mc:Fallback>
        <oleObject progId="Paint.Picture" shapeId="52225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3"/>
  <sheetViews>
    <sheetView showGridLines="0" view="pageBreakPreview" zoomScaleNormal="145" zoomScaleSheetLayoutView="100" workbookViewId="0">
      <selection activeCell="C19" sqref="C19:E1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87" t="s">
        <v>299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2" ht="2.25" customHeight="1" thickBot="1" x14ac:dyDescent="0.3"/>
    <row r="6" spans="2:12" ht="21.6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2" ht="29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3" customHeight="1" x14ac:dyDescent="0.25"/>
    <row r="9" spans="2:12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3.54*1000</f>
        <v>3540</v>
      </c>
      <c r="G10" s="67">
        <f>2.35*1000</f>
        <v>2350</v>
      </c>
      <c r="H10" s="67">
        <f>2.06*1000</f>
        <v>2060</v>
      </c>
      <c r="I10" s="67">
        <f>2.67*1000</f>
        <v>2670</v>
      </c>
      <c r="J10" s="67">
        <f>2.36*1000</f>
        <v>2360</v>
      </c>
      <c r="K10" s="67">
        <v>315</v>
      </c>
      <c r="L10" s="70">
        <v>309</v>
      </c>
    </row>
    <row r="11" spans="2:12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7.23</v>
      </c>
      <c r="G11" s="68">
        <v>7.2</v>
      </c>
      <c r="H11" s="68">
        <v>7.29</v>
      </c>
      <c r="I11" s="68">
        <v>7.29</v>
      </c>
      <c r="J11" s="68">
        <v>7.34</v>
      </c>
      <c r="K11" s="68">
        <v>7.01</v>
      </c>
      <c r="L11" s="66">
        <v>7.01</v>
      </c>
    </row>
    <row r="12" spans="2:12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v>1167</v>
      </c>
      <c r="G12" s="67">
        <v>1151</v>
      </c>
      <c r="H12" s="67">
        <v>1524</v>
      </c>
      <c r="I12" s="67">
        <v>1318</v>
      </c>
      <c r="J12" s="67">
        <v>1160</v>
      </c>
      <c r="K12" s="71">
        <v>156.4</v>
      </c>
      <c r="L12" s="28">
        <v>156.5</v>
      </c>
    </row>
    <row r="13" spans="2:12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27</v>
      </c>
      <c r="G13" s="69">
        <v>26.3</v>
      </c>
      <c r="H13" s="69">
        <v>26.7</v>
      </c>
      <c r="I13" s="69">
        <v>26.7</v>
      </c>
      <c r="J13" s="69">
        <v>26.6</v>
      </c>
      <c r="K13" s="69">
        <v>23.2</v>
      </c>
      <c r="L13" s="28">
        <v>22.7</v>
      </c>
    </row>
    <row r="14" spans="2:12" ht="15.75" customHeight="1" thickBot="1" x14ac:dyDescent="0.3">
      <c r="B14" s="416" t="s">
        <v>294</v>
      </c>
      <c r="C14" s="416"/>
      <c r="D14" s="416"/>
      <c r="E14" s="416"/>
      <c r="F14" s="416"/>
      <c r="G14" s="416"/>
      <c r="H14" s="416"/>
      <c r="I14" s="416"/>
      <c r="J14" s="416"/>
      <c r="K14" s="416"/>
      <c r="L14" s="416"/>
    </row>
    <row r="15" spans="2:12" ht="1.5" customHeight="1" thickBot="1" x14ac:dyDescent="0.3"/>
    <row r="16" spans="2:12" ht="15.75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13.1</v>
      </c>
      <c r="G16" s="4">
        <v>15</v>
      </c>
      <c r="H16" s="4">
        <v>11.5</v>
      </c>
      <c r="I16" s="4">
        <v>19.100000000000001</v>
      </c>
      <c r="J16" s="4">
        <v>29.1</v>
      </c>
      <c r="K16" s="4">
        <v>129</v>
      </c>
      <c r="L16" s="4">
        <v>104</v>
      </c>
    </row>
    <row r="17" spans="2:12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66*3</f>
        <v>198</v>
      </c>
      <c r="G17" s="4">
        <f>37*3</f>
        <v>111</v>
      </c>
      <c r="H17" s="4">
        <f>64*3</f>
        <v>192</v>
      </c>
      <c r="I17" s="4">
        <f>71*3</f>
        <v>213</v>
      </c>
      <c r="J17" s="4">
        <f>63*3</f>
        <v>189</v>
      </c>
      <c r="K17" s="4">
        <f>28*3</f>
        <v>84</v>
      </c>
      <c r="L17" s="4">
        <f>29*3</f>
        <v>87</v>
      </c>
    </row>
    <row r="18" spans="2:12" ht="15.75" thickBot="1" x14ac:dyDescent="0.3">
      <c r="B18" s="4" t="s">
        <v>47</v>
      </c>
      <c r="C18" s="4" t="s">
        <v>54</v>
      </c>
      <c r="D18" s="4">
        <v>500</v>
      </c>
      <c r="E18" s="14" t="s">
        <v>37</v>
      </c>
      <c r="F18" s="29">
        <f>17.6*3</f>
        <v>52.800000000000004</v>
      </c>
      <c r="G18" s="29">
        <f>17.3*3</f>
        <v>51.900000000000006</v>
      </c>
      <c r="H18" s="29">
        <f>5*3</f>
        <v>15</v>
      </c>
      <c r="I18" s="29">
        <f>7.9*3</f>
        <v>23.700000000000003</v>
      </c>
      <c r="J18" s="29">
        <f>10.3*3</f>
        <v>30.900000000000002</v>
      </c>
      <c r="K18" s="4">
        <f>2.5*3</f>
        <v>7.5</v>
      </c>
      <c r="L18" s="4">
        <f>4.5*3</f>
        <v>13.5</v>
      </c>
    </row>
    <row r="19" spans="2:12" ht="15.75" thickBot="1" x14ac:dyDescent="0.3">
      <c r="B19" s="4" t="s">
        <v>48</v>
      </c>
      <c r="C19" s="4" t="s">
        <v>54</v>
      </c>
      <c r="D19" s="4">
        <v>100</v>
      </c>
      <c r="E19" s="4">
        <v>100</v>
      </c>
      <c r="F19" s="4">
        <v>9.8000000000000007</v>
      </c>
      <c r="G19" s="4">
        <v>7</v>
      </c>
      <c r="H19" s="28">
        <v>5.7</v>
      </c>
      <c r="I19" s="4">
        <v>2</v>
      </c>
      <c r="J19" s="4">
        <v>4.8</v>
      </c>
      <c r="K19" s="4">
        <v>2.6</v>
      </c>
      <c r="L19" s="4">
        <v>1.5</v>
      </c>
    </row>
    <row r="20" spans="2:12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4">
        <v>2.9</v>
      </c>
      <c r="G20" s="4">
        <v>2</v>
      </c>
      <c r="H20" s="29">
        <v>2.2999999999999998</v>
      </c>
      <c r="I20" s="29">
        <v>2.5</v>
      </c>
      <c r="J20" s="4">
        <v>2.8</v>
      </c>
      <c r="K20" s="29">
        <v>2.2000000000000002</v>
      </c>
      <c r="L20" s="29">
        <v>2.7</v>
      </c>
    </row>
    <row r="21" spans="2:12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4">
        <v>3.7999999999999999E-2</v>
      </c>
      <c r="G21" s="4">
        <v>4.5999999999999999E-2</v>
      </c>
      <c r="H21" s="4">
        <v>4.3999999999999997E-2</v>
      </c>
      <c r="I21" s="4">
        <v>4.2999999999999997E-2</v>
      </c>
      <c r="J21" s="4">
        <v>5.0999999999999997E-2</v>
      </c>
      <c r="K21" s="4">
        <v>0.40600000000000003</v>
      </c>
      <c r="L21" s="4">
        <v>0.59</v>
      </c>
    </row>
    <row r="22" spans="2:12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29">
        <v>3.71</v>
      </c>
      <c r="G22" s="29">
        <v>4.75</v>
      </c>
      <c r="H22" s="29">
        <v>4.07</v>
      </c>
      <c r="I22" s="29">
        <v>9.24</v>
      </c>
      <c r="J22" s="29">
        <v>3.01</v>
      </c>
      <c r="K22" s="4">
        <v>0.41</v>
      </c>
      <c r="L22" s="4">
        <v>0.78</v>
      </c>
    </row>
    <row r="23" spans="2:12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4">
        <v>0.38</v>
      </c>
      <c r="G23" s="4">
        <v>0.155</v>
      </c>
      <c r="H23" s="4">
        <v>0.29599999999999999</v>
      </c>
      <c r="I23" s="4">
        <v>0.111</v>
      </c>
      <c r="J23" s="4">
        <v>7.8E-2</v>
      </c>
      <c r="K23" s="4">
        <v>0.14599999999999999</v>
      </c>
      <c r="L23" s="4">
        <v>0.11</v>
      </c>
    </row>
    <row r="24" spans="2:12" ht="15.75" customHeight="1" thickBot="1" x14ac:dyDescent="0.3">
      <c r="B24" s="4" t="s">
        <v>45</v>
      </c>
      <c r="C24" s="4" t="s">
        <v>54</v>
      </c>
      <c r="D24" s="14" t="s">
        <v>37</v>
      </c>
      <c r="E24" s="14" t="s">
        <v>37</v>
      </c>
      <c r="F24" s="4" t="s">
        <v>300</v>
      </c>
      <c r="G24" s="4" t="s">
        <v>300</v>
      </c>
      <c r="H24" s="4" t="s">
        <v>300</v>
      </c>
      <c r="I24" s="4" t="s">
        <v>300</v>
      </c>
      <c r="J24" s="4" t="s">
        <v>300</v>
      </c>
      <c r="K24" s="4" t="s">
        <v>300</v>
      </c>
      <c r="L24" s="4" t="s">
        <v>300</v>
      </c>
    </row>
    <row r="25" spans="2:12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</row>
    <row r="26" spans="2:12" ht="1.5" customHeight="1" x14ac:dyDescent="0.25"/>
    <row r="27" spans="2:12" ht="1.5" customHeight="1" thickBot="1" x14ac:dyDescent="0.3"/>
    <row r="28" spans="2:12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28">
        <v>11</v>
      </c>
      <c r="G28" s="28">
        <v>11</v>
      </c>
      <c r="H28" s="28">
        <v>11</v>
      </c>
      <c r="I28" s="28">
        <v>11</v>
      </c>
      <c r="J28" s="28">
        <v>11</v>
      </c>
      <c r="K28" s="28">
        <v>7.3</v>
      </c>
      <c r="L28" s="28">
        <v>3.6</v>
      </c>
    </row>
    <row r="29" spans="2:12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28">
        <v>3</v>
      </c>
      <c r="G29" s="28">
        <v>7.2</v>
      </c>
      <c r="H29" s="28">
        <v>3</v>
      </c>
      <c r="I29" s="28">
        <v>11</v>
      </c>
      <c r="J29" s="28">
        <v>7.3</v>
      </c>
      <c r="K29" s="28">
        <v>7.3</v>
      </c>
      <c r="L29" s="28">
        <v>3.6</v>
      </c>
    </row>
    <row r="30" spans="2:12" ht="15.75" thickBot="1" x14ac:dyDescent="0.3">
      <c r="B30" s="4" t="s">
        <v>56</v>
      </c>
      <c r="C30" s="4" t="s">
        <v>58</v>
      </c>
      <c r="D30" s="4" t="s">
        <v>59</v>
      </c>
      <c r="E30" s="14" t="s">
        <v>37</v>
      </c>
      <c r="F30" s="28">
        <v>3</v>
      </c>
      <c r="G30" s="28">
        <v>3.6</v>
      </c>
      <c r="H30" s="28">
        <v>3</v>
      </c>
      <c r="I30" s="28">
        <v>7.2</v>
      </c>
      <c r="J30" s="28">
        <v>3</v>
      </c>
      <c r="K30" s="28">
        <v>3</v>
      </c>
      <c r="L30" s="28">
        <v>3.6</v>
      </c>
    </row>
    <row r="31" spans="2:12" ht="24" customHeight="1" x14ac:dyDescent="0.25">
      <c r="B31" s="418" t="s">
        <v>301</v>
      </c>
      <c r="C31" s="418"/>
      <c r="D31" s="418"/>
      <c r="E31" s="418"/>
      <c r="F31" s="418"/>
    </row>
    <row r="32" spans="2:12" x14ac:dyDescent="0.25">
      <c r="B32" s="26"/>
      <c r="C32" s="26"/>
    </row>
    <row r="33" spans="2:3" x14ac:dyDescent="0.25">
      <c r="B33" s="26"/>
      <c r="C33" s="26"/>
    </row>
  </sheetData>
  <mergeCells count="9">
    <mergeCell ref="B31:F31"/>
    <mergeCell ref="B14:L14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8193" r:id="rId4">
          <objectPr defaultSize="0" autoPict="0" r:id="rId5">
            <anchor moveWithCells="1">
              <from>
                <xdr:col>14</xdr:col>
                <xdr:colOff>123825</xdr:colOff>
                <xdr:row>2</xdr:row>
                <xdr:rowOff>57150</xdr:rowOff>
              </from>
              <to>
                <xdr:col>21</xdr:col>
                <xdr:colOff>57150</xdr:colOff>
                <xdr:row>22</xdr:row>
                <xdr:rowOff>76200</xdr:rowOff>
              </to>
            </anchor>
          </objectPr>
        </oleObject>
      </mc:Choice>
      <mc:Fallback>
        <oleObject progId="Paint.Picture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32"/>
  <sheetViews>
    <sheetView showGridLines="0" view="pageBreakPreview" topLeftCell="A19" zoomScaleNormal="145" zoomScaleSheetLayoutView="100" workbookViewId="0">
      <selection activeCell="F28" sqref="F28:L29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21.140625" customWidth="1"/>
  </cols>
  <sheetData>
    <row r="1" spans="2:14" ht="6" customHeight="1" x14ac:dyDescent="0.25"/>
    <row r="2" spans="2:14" ht="6" customHeight="1" x14ac:dyDescent="0.25"/>
    <row r="3" spans="2:14" ht="6.75" customHeight="1" x14ac:dyDescent="0.25"/>
    <row r="4" spans="2:14" ht="37.5" customHeight="1" x14ac:dyDescent="0.25">
      <c r="B4" s="387" t="s">
        <v>370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4" ht="2.25" customHeight="1" thickBot="1" x14ac:dyDescent="0.3"/>
    <row r="6" spans="2:14" ht="24.75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4" ht="29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4" ht="3" customHeight="1" x14ac:dyDescent="0.25"/>
    <row r="9" spans="2:14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4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346">
        <v>3330</v>
      </c>
      <c r="G10" s="67">
        <v>2330</v>
      </c>
      <c r="H10" s="346">
        <v>2970</v>
      </c>
      <c r="I10" s="346">
        <v>2770</v>
      </c>
      <c r="J10" s="67">
        <v>2260</v>
      </c>
      <c r="K10" s="67">
        <v>480</v>
      </c>
      <c r="L10" s="70">
        <v>470</v>
      </c>
      <c r="M10" s="340">
        <f>MAX(F10:L10)</f>
        <v>3330</v>
      </c>
      <c r="N10" s="340">
        <f>MIN(F10:L10)</f>
        <v>470</v>
      </c>
    </row>
    <row r="11" spans="2:14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9">
        <v>6.9</v>
      </c>
      <c r="G11" s="69">
        <v>6.85</v>
      </c>
      <c r="H11" s="69">
        <v>7.04</v>
      </c>
      <c r="I11" s="69">
        <v>7.26</v>
      </c>
      <c r="J11" s="69">
        <v>7.47</v>
      </c>
      <c r="K11" s="69">
        <v>7.78</v>
      </c>
      <c r="L11" s="28">
        <v>7.65</v>
      </c>
      <c r="M11" s="344">
        <f t="shared" ref="M11:M29" si="0">MAX(F11:L11)</f>
        <v>7.78</v>
      </c>
      <c r="N11" s="344">
        <f t="shared" ref="N11:N29" si="1">MIN(F11:L11)</f>
        <v>6.85</v>
      </c>
    </row>
    <row r="12" spans="2:14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345">
        <v>1633</v>
      </c>
      <c r="G12" s="345">
        <v>1087</v>
      </c>
      <c r="H12" s="345">
        <v>1445</v>
      </c>
      <c r="I12" s="345">
        <v>1348</v>
      </c>
      <c r="J12" s="345">
        <v>1104</v>
      </c>
      <c r="K12" s="345">
        <v>232</v>
      </c>
      <c r="L12" s="70">
        <v>227</v>
      </c>
      <c r="M12" s="340">
        <f t="shared" si="0"/>
        <v>1633</v>
      </c>
      <c r="N12" s="340">
        <f t="shared" si="1"/>
        <v>227</v>
      </c>
    </row>
    <row r="13" spans="2:14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343">
        <v>27.5</v>
      </c>
      <c r="G13" s="343">
        <v>26.7</v>
      </c>
      <c r="H13" s="343">
        <v>27.6</v>
      </c>
      <c r="I13" s="343">
        <v>27.1</v>
      </c>
      <c r="J13" s="343">
        <v>26.5</v>
      </c>
      <c r="K13" s="343">
        <v>25.1</v>
      </c>
      <c r="L13" s="70">
        <v>25</v>
      </c>
      <c r="M13" s="340">
        <f t="shared" si="0"/>
        <v>27.6</v>
      </c>
      <c r="N13" s="340">
        <f t="shared" si="1"/>
        <v>25</v>
      </c>
    </row>
    <row r="14" spans="2:14" ht="15.75" thickBot="1" x14ac:dyDescent="0.3">
      <c r="B14" s="4" t="s">
        <v>42</v>
      </c>
      <c r="C14" s="4" t="s">
        <v>53</v>
      </c>
      <c r="D14" s="14" t="s">
        <v>37</v>
      </c>
      <c r="E14" s="14" t="s">
        <v>37</v>
      </c>
      <c r="F14" s="4">
        <v>10.4</v>
      </c>
      <c r="G14" s="4">
        <v>4.7</v>
      </c>
      <c r="H14" s="4">
        <v>9.1300000000000008</v>
      </c>
      <c r="I14" s="4">
        <v>13</v>
      </c>
      <c r="J14" s="4">
        <v>18.899999999999999</v>
      </c>
      <c r="K14" s="4">
        <v>41.2</v>
      </c>
      <c r="L14" s="4">
        <v>46.4</v>
      </c>
      <c r="M14" s="344">
        <f t="shared" si="0"/>
        <v>46.4</v>
      </c>
      <c r="N14" s="344">
        <f t="shared" si="1"/>
        <v>4.7</v>
      </c>
    </row>
    <row r="15" spans="2:14" ht="15.75" customHeight="1" thickBot="1" x14ac:dyDescent="0.3">
      <c r="B15" s="416" t="s">
        <v>294</v>
      </c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340">
        <f t="shared" si="0"/>
        <v>0</v>
      </c>
      <c r="N15" s="340">
        <f t="shared" si="1"/>
        <v>0</v>
      </c>
    </row>
    <row r="16" spans="2:14" ht="1.5" customHeight="1" thickBot="1" x14ac:dyDescent="0.3">
      <c r="M16" s="340">
        <f t="shared" ref="M16:M17" si="2">MAX(F16:L16)</f>
        <v>0</v>
      </c>
      <c r="N16" s="340">
        <f t="shared" ref="N16:N17" si="3">MIN(F16:L16)</f>
        <v>0</v>
      </c>
    </row>
    <row r="17" spans="2:15" ht="15.75" thickBot="1" x14ac:dyDescent="0.3">
      <c r="B17" s="4" t="s">
        <v>48</v>
      </c>
      <c r="C17" s="4" t="s">
        <v>54</v>
      </c>
      <c r="D17" s="4">
        <v>100</v>
      </c>
      <c r="E17" s="4">
        <v>100</v>
      </c>
      <c r="F17" s="4">
        <v>10</v>
      </c>
      <c r="G17" s="4">
        <v>14</v>
      </c>
      <c r="H17" s="4">
        <v>15</v>
      </c>
      <c r="I17" s="4">
        <v>11</v>
      </c>
      <c r="J17" s="4">
        <v>14</v>
      </c>
      <c r="K17" s="4">
        <v>13</v>
      </c>
      <c r="L17" s="4">
        <v>15</v>
      </c>
      <c r="M17" s="340">
        <f t="shared" si="2"/>
        <v>15</v>
      </c>
      <c r="N17" s="340">
        <f t="shared" si="3"/>
        <v>10</v>
      </c>
      <c r="O17" s="73"/>
    </row>
    <row r="18" spans="2:15" ht="15.75" thickBot="1" x14ac:dyDescent="0.3">
      <c r="B18" s="4" t="s">
        <v>368</v>
      </c>
      <c r="C18" s="4" t="s">
        <v>54</v>
      </c>
      <c r="D18" s="4">
        <v>10</v>
      </c>
      <c r="E18" s="14">
        <v>10</v>
      </c>
      <c r="F18" s="338">
        <v>11</v>
      </c>
      <c r="G18" s="338">
        <v>13</v>
      </c>
      <c r="H18" s="338">
        <v>19</v>
      </c>
      <c r="I18" s="338">
        <v>18</v>
      </c>
      <c r="J18" s="338">
        <v>21</v>
      </c>
      <c r="K18" s="5">
        <v>9</v>
      </c>
      <c r="L18" s="338">
        <v>13</v>
      </c>
      <c r="M18" s="340">
        <f t="shared" si="0"/>
        <v>21</v>
      </c>
      <c r="N18" s="340">
        <f t="shared" si="1"/>
        <v>9</v>
      </c>
    </row>
    <row r="19" spans="2:15" ht="15.75" thickBot="1" x14ac:dyDescent="0.3">
      <c r="B19" s="4" t="s">
        <v>49</v>
      </c>
      <c r="C19" s="4" t="s">
        <v>54</v>
      </c>
      <c r="D19" s="4" t="s">
        <v>67</v>
      </c>
      <c r="E19" s="4" t="s">
        <v>67</v>
      </c>
      <c r="F19" s="338">
        <v>0.4</v>
      </c>
      <c r="G19" s="338">
        <v>0.5</v>
      </c>
      <c r="H19" s="338">
        <v>0.4</v>
      </c>
      <c r="I19" s="338">
        <v>0.7</v>
      </c>
      <c r="J19" s="338">
        <v>1.4</v>
      </c>
      <c r="K19" s="339">
        <v>0.4</v>
      </c>
      <c r="L19" s="338">
        <v>0.3</v>
      </c>
      <c r="M19" s="344">
        <f t="shared" si="0"/>
        <v>1.4</v>
      </c>
      <c r="N19" s="344">
        <f t="shared" si="1"/>
        <v>0.3</v>
      </c>
    </row>
    <row r="20" spans="2:15" ht="15.75" thickBot="1" x14ac:dyDescent="0.3">
      <c r="B20" s="4" t="s">
        <v>46</v>
      </c>
      <c r="C20" s="4" t="s">
        <v>54</v>
      </c>
      <c r="D20" s="4" t="s">
        <v>59</v>
      </c>
      <c r="E20" s="4" t="s">
        <v>59</v>
      </c>
      <c r="F20" s="4">
        <f>5*47</f>
        <v>235</v>
      </c>
      <c r="G20" s="4">
        <f>5*27</f>
        <v>135</v>
      </c>
      <c r="H20" s="4">
        <f>5*37</f>
        <v>185</v>
      </c>
      <c r="I20" s="4">
        <f>5*43</f>
        <v>215</v>
      </c>
      <c r="J20" s="4">
        <f>5*31</f>
        <v>155</v>
      </c>
      <c r="K20" s="4">
        <f>5*25</f>
        <v>125</v>
      </c>
      <c r="L20" s="4">
        <f>5*20</f>
        <v>100</v>
      </c>
      <c r="M20" s="340">
        <f t="shared" si="0"/>
        <v>235</v>
      </c>
      <c r="N20" s="340">
        <f t="shared" si="1"/>
        <v>100</v>
      </c>
    </row>
    <row r="21" spans="2:15" ht="15.75" thickBot="1" x14ac:dyDescent="0.3">
      <c r="B21" s="4" t="s">
        <v>51</v>
      </c>
      <c r="C21" s="4" t="s">
        <v>54</v>
      </c>
      <c r="D21" s="4" t="s">
        <v>67</v>
      </c>
      <c r="E21" s="4" t="s">
        <v>68</v>
      </c>
      <c r="F21" s="78">
        <v>0.17</v>
      </c>
      <c r="G21" s="78">
        <v>0.21</v>
      </c>
      <c r="H21" s="78">
        <v>0.17</v>
      </c>
      <c r="I21" s="78">
        <v>0.11</v>
      </c>
      <c r="J21" s="78">
        <v>0.18</v>
      </c>
      <c r="K21" s="78">
        <v>0.19</v>
      </c>
      <c r="L21" s="78">
        <v>0.1</v>
      </c>
      <c r="M21" s="344">
        <f t="shared" si="0"/>
        <v>0.21</v>
      </c>
      <c r="N21" s="344">
        <f t="shared" si="1"/>
        <v>0.1</v>
      </c>
    </row>
    <row r="22" spans="2:15" ht="24.75" thickBot="1" x14ac:dyDescent="0.3">
      <c r="B22" s="4" t="s">
        <v>52</v>
      </c>
      <c r="C22" s="4" t="s">
        <v>54</v>
      </c>
      <c r="D22" s="4" t="s">
        <v>69</v>
      </c>
      <c r="E22" s="4">
        <v>1</v>
      </c>
      <c r="F22" s="84">
        <v>0.18</v>
      </c>
      <c r="G22" s="84">
        <v>0.159</v>
      </c>
      <c r="H22" s="84">
        <v>0.245</v>
      </c>
      <c r="I22" s="84">
        <v>0.255</v>
      </c>
      <c r="J22" s="84">
        <v>0.107</v>
      </c>
      <c r="K22" s="84">
        <v>0.20499999999999999</v>
      </c>
      <c r="L22" s="84">
        <v>0.223</v>
      </c>
      <c r="M22" s="341">
        <f t="shared" si="0"/>
        <v>0.255</v>
      </c>
      <c r="N22" s="341">
        <f t="shared" si="1"/>
        <v>0.107</v>
      </c>
    </row>
    <row r="23" spans="2:15" ht="15.75" thickBot="1" x14ac:dyDescent="0.3">
      <c r="B23" s="4" t="s">
        <v>50</v>
      </c>
      <c r="C23" s="4" t="s">
        <v>54</v>
      </c>
      <c r="D23" s="4">
        <v>5</v>
      </c>
      <c r="E23" s="14" t="s">
        <v>37</v>
      </c>
      <c r="F23" s="4">
        <v>0.28599999999999998</v>
      </c>
      <c r="G23" s="4">
        <v>0.29299999999999998</v>
      </c>
      <c r="H23" s="4">
        <v>0.4</v>
      </c>
      <c r="I23" s="4">
        <v>0.46200000000000002</v>
      </c>
      <c r="J23" s="4">
        <v>0.28699999999999998</v>
      </c>
      <c r="K23" s="4">
        <v>1.2789999999999999</v>
      </c>
      <c r="L23" s="4">
        <v>0.66100000000000003</v>
      </c>
      <c r="M23" s="344">
        <f t="shared" ref="M23" si="4">MAX(F23:L23)</f>
        <v>1.2789999999999999</v>
      </c>
      <c r="N23" s="344">
        <f t="shared" ref="N23" si="5">MIN(F23:L23)</f>
        <v>0.28599999999999998</v>
      </c>
    </row>
    <row r="24" spans="2:15" ht="15.75" customHeight="1" thickBot="1" x14ac:dyDescent="0.3">
      <c r="B24" s="4" t="s">
        <v>334</v>
      </c>
      <c r="C24" s="4" t="s">
        <v>54</v>
      </c>
      <c r="D24" s="4">
        <v>2</v>
      </c>
      <c r="E24" s="4">
        <v>24</v>
      </c>
      <c r="F24" s="4">
        <v>0.25</v>
      </c>
      <c r="G24" s="4">
        <v>0.27</v>
      </c>
      <c r="H24" s="4">
        <v>0.23</v>
      </c>
      <c r="I24" s="4">
        <v>0.26</v>
      </c>
      <c r="J24" s="4">
        <v>0.23</v>
      </c>
      <c r="K24" s="4">
        <v>0.46</v>
      </c>
      <c r="L24" s="4">
        <v>0.51</v>
      </c>
      <c r="M24" s="341">
        <f t="shared" si="0"/>
        <v>0.51</v>
      </c>
      <c r="N24" s="341">
        <f t="shared" si="1"/>
        <v>0.23</v>
      </c>
    </row>
    <row r="25" spans="2:15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340">
        <f t="shared" si="0"/>
        <v>0</v>
      </c>
      <c r="N25" s="340">
        <f t="shared" si="1"/>
        <v>0</v>
      </c>
    </row>
    <row r="26" spans="2:15" ht="1.5" customHeight="1" x14ac:dyDescent="0.25">
      <c r="M26" s="340">
        <f t="shared" si="0"/>
        <v>0</v>
      </c>
      <c r="N26" s="340">
        <f t="shared" si="1"/>
        <v>0</v>
      </c>
    </row>
    <row r="27" spans="2:15" ht="1.5" customHeight="1" thickBot="1" x14ac:dyDescent="0.3">
      <c r="M27" s="340">
        <f t="shared" si="0"/>
        <v>0</v>
      </c>
      <c r="N27" s="340">
        <f t="shared" si="1"/>
        <v>0</v>
      </c>
    </row>
    <row r="28" spans="2:15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70">
        <v>1100</v>
      </c>
      <c r="G28" s="70">
        <v>1100</v>
      </c>
      <c r="H28" s="70">
        <v>460</v>
      </c>
      <c r="I28" s="70">
        <v>460</v>
      </c>
      <c r="J28" s="70">
        <v>460</v>
      </c>
      <c r="K28" s="70">
        <v>240</v>
      </c>
      <c r="L28" s="70">
        <v>150</v>
      </c>
      <c r="M28" s="340">
        <f t="shared" si="0"/>
        <v>1100</v>
      </c>
      <c r="N28" s="340">
        <f t="shared" si="1"/>
        <v>150</v>
      </c>
    </row>
    <row r="29" spans="2:15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70">
        <v>1100</v>
      </c>
      <c r="G29" s="70">
        <v>1100</v>
      </c>
      <c r="H29" s="70">
        <v>460</v>
      </c>
      <c r="I29" s="70">
        <v>210</v>
      </c>
      <c r="J29" s="70">
        <v>240</v>
      </c>
      <c r="K29" s="70">
        <v>210</v>
      </c>
      <c r="L29" s="70">
        <v>150</v>
      </c>
      <c r="M29" s="340">
        <f t="shared" si="0"/>
        <v>1100</v>
      </c>
      <c r="N29" s="340">
        <f t="shared" si="1"/>
        <v>150</v>
      </c>
    </row>
    <row r="31" spans="2:15" x14ac:dyDescent="0.25">
      <c r="B31" s="26"/>
      <c r="C31" s="26"/>
    </row>
    <row r="32" spans="2:15" x14ac:dyDescent="0.25">
      <c r="B32" s="26"/>
      <c r="C32" s="26"/>
    </row>
  </sheetData>
  <mergeCells count="8">
    <mergeCell ref="B15:L15"/>
    <mergeCell ref="B25:L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62" orientation="portrait" r:id="rId1"/>
  <colBreaks count="1" manualBreakCount="1">
    <brk id="13" max="32" man="1"/>
  </colBreaks>
  <drawing r:id="rId2"/>
  <legacyDrawing r:id="rId3"/>
  <oleObjects>
    <mc:AlternateContent xmlns:mc="http://schemas.openxmlformats.org/markup-compatibility/2006">
      <mc:Choice Requires="x14">
        <oleObject progId="Paint.Picture" shapeId="65537" r:id="rId4">
          <objectPr defaultSize="0" autoPict="0" r:id="rId5">
            <anchor moveWithCells="1">
              <from>
                <xdr:col>15</xdr:col>
                <xdr:colOff>38100</xdr:colOff>
                <xdr:row>14</xdr:row>
                <xdr:rowOff>57150</xdr:rowOff>
              </from>
              <to>
                <xdr:col>21</xdr:col>
                <xdr:colOff>733425</xdr:colOff>
                <xdr:row>36</xdr:row>
                <xdr:rowOff>142875</xdr:rowOff>
              </to>
            </anchor>
          </objectPr>
        </oleObject>
      </mc:Choice>
      <mc:Fallback>
        <oleObject progId="Paint.Picture" shapeId="6553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33"/>
  <sheetViews>
    <sheetView showGridLines="0" view="pageBreakPreview" zoomScaleNormal="145" zoomScaleSheetLayoutView="100" workbookViewId="0">
      <selection activeCell="F16" sqref="F16:L16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87" t="s">
        <v>321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2" ht="2.25" customHeight="1" thickBot="1" x14ac:dyDescent="0.3"/>
    <row r="6" spans="2:12" ht="21.6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2" ht="29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3" customHeight="1" x14ac:dyDescent="0.25"/>
    <row r="9" spans="2:12" ht="15.7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24.75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f>3.34*1000</f>
        <v>3340</v>
      </c>
      <c r="G10" s="67">
        <f>2.53*1000</f>
        <v>2530</v>
      </c>
      <c r="H10" s="67">
        <f>2.95*1000</f>
        <v>2950</v>
      </c>
      <c r="I10" s="67">
        <f>2.73*1000</f>
        <v>2730</v>
      </c>
      <c r="J10" s="67">
        <f>2.55*1000</f>
        <v>2550</v>
      </c>
      <c r="K10" s="67">
        <v>403</v>
      </c>
      <c r="L10" s="70">
        <v>381</v>
      </c>
    </row>
    <row r="11" spans="2:12" ht="15.75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7.55</v>
      </c>
      <c r="G11" s="68">
        <v>7.4340000000000002</v>
      </c>
      <c r="H11" s="68">
        <v>7.6040000000000001</v>
      </c>
      <c r="I11" s="68">
        <v>7.7220000000000004</v>
      </c>
      <c r="J11" s="68">
        <v>7.8129999999999997</v>
      </c>
      <c r="K11" s="68">
        <v>8.1489999999999991</v>
      </c>
      <c r="L11" s="66">
        <v>8.0549999999999997</v>
      </c>
    </row>
    <row r="12" spans="2:12" ht="24.75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f>F10/2</f>
        <v>1670</v>
      </c>
      <c r="G12" s="67">
        <f t="shared" ref="G12:L12" si="0">G10/2</f>
        <v>1265</v>
      </c>
      <c r="H12" s="67">
        <f t="shared" si="0"/>
        <v>1475</v>
      </c>
      <c r="I12" s="67">
        <f t="shared" si="0"/>
        <v>1365</v>
      </c>
      <c r="J12" s="67">
        <f t="shared" si="0"/>
        <v>1275</v>
      </c>
      <c r="K12" s="71">
        <f t="shared" si="0"/>
        <v>201.5</v>
      </c>
      <c r="L12" s="28">
        <f t="shared" si="0"/>
        <v>190.5</v>
      </c>
    </row>
    <row r="13" spans="2:12" ht="15.75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24</v>
      </c>
      <c r="G13" s="69">
        <v>23.8</v>
      </c>
      <c r="H13" s="69">
        <v>23.9</v>
      </c>
      <c r="I13" s="69">
        <v>24.1</v>
      </c>
      <c r="J13" s="69">
        <v>24</v>
      </c>
      <c r="K13" s="69">
        <v>23.9</v>
      </c>
      <c r="L13" s="28">
        <v>23.9</v>
      </c>
    </row>
    <row r="14" spans="2:12" ht="15.75" customHeight="1" thickBot="1" x14ac:dyDescent="0.3">
      <c r="B14" s="416" t="s">
        <v>294</v>
      </c>
      <c r="C14" s="416"/>
      <c r="D14" s="416"/>
      <c r="E14" s="416"/>
      <c r="F14" s="416"/>
      <c r="G14" s="416"/>
      <c r="H14" s="416"/>
      <c r="I14" s="416"/>
      <c r="J14" s="416"/>
      <c r="K14" s="416"/>
      <c r="L14" s="416"/>
    </row>
    <row r="15" spans="2:12" ht="1.5" customHeight="1" thickBot="1" x14ac:dyDescent="0.3"/>
    <row r="16" spans="2:12" ht="15.75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17.3</v>
      </c>
      <c r="G16" s="4">
        <v>18.399999999999999</v>
      </c>
      <c r="H16" s="4">
        <v>12.2</v>
      </c>
      <c r="I16" s="4">
        <v>17.8</v>
      </c>
      <c r="J16" s="4">
        <v>28.6</v>
      </c>
      <c r="K16" s="4">
        <v>132</v>
      </c>
      <c r="L16" s="4">
        <v>112</v>
      </c>
    </row>
    <row r="17" spans="2:12" ht="15.75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34*5</f>
        <v>170</v>
      </c>
      <c r="G17" s="4">
        <f>23*5</f>
        <v>115</v>
      </c>
      <c r="H17" s="4">
        <f>26*5</f>
        <v>130</v>
      </c>
      <c r="I17" s="4">
        <f>22*5</f>
        <v>110</v>
      </c>
      <c r="J17" s="4">
        <f>27*5</f>
        <v>135</v>
      </c>
      <c r="K17" s="4">
        <f>8*50</f>
        <v>400</v>
      </c>
      <c r="L17" s="4">
        <f>10*54</f>
        <v>540</v>
      </c>
    </row>
    <row r="18" spans="2:12" ht="15.75" thickBot="1" x14ac:dyDescent="0.3">
      <c r="B18" s="4" t="s">
        <v>47</v>
      </c>
      <c r="C18" s="4" t="s">
        <v>54</v>
      </c>
      <c r="D18" s="4">
        <v>500</v>
      </c>
      <c r="E18" s="14" t="s">
        <v>37</v>
      </c>
      <c r="F18" s="77">
        <f>82.8*4</f>
        <v>331.2</v>
      </c>
      <c r="G18" s="77">
        <f>19.1*4</f>
        <v>76.400000000000006</v>
      </c>
      <c r="H18" s="77">
        <f>6.7*4</f>
        <v>26.8</v>
      </c>
      <c r="I18" s="77">
        <f>11.6*4</f>
        <v>46.4</v>
      </c>
      <c r="J18" s="77">
        <f>10.8*4</f>
        <v>43.2</v>
      </c>
      <c r="K18" s="77">
        <f>39.4*4</f>
        <v>157.6</v>
      </c>
      <c r="L18" s="77">
        <f>5.6*4</f>
        <v>22.4</v>
      </c>
    </row>
    <row r="19" spans="2:12" ht="15.75" thickBot="1" x14ac:dyDescent="0.3">
      <c r="B19" s="4" t="s">
        <v>48</v>
      </c>
      <c r="C19" s="4" t="s">
        <v>54</v>
      </c>
      <c r="D19" s="4">
        <v>100</v>
      </c>
      <c r="E19" s="4">
        <v>100</v>
      </c>
      <c r="F19" s="5" t="s">
        <v>323</v>
      </c>
      <c r="G19" s="5">
        <v>6.5</v>
      </c>
      <c r="H19" s="78">
        <v>5.6</v>
      </c>
      <c r="I19" s="5">
        <v>3.5</v>
      </c>
      <c r="J19" s="5">
        <v>4.2</v>
      </c>
      <c r="K19" s="5">
        <v>7.8</v>
      </c>
      <c r="L19" s="5">
        <v>10</v>
      </c>
    </row>
    <row r="20" spans="2:12" ht="15.75" thickBot="1" x14ac:dyDescent="0.3">
      <c r="B20" s="4" t="s">
        <v>49</v>
      </c>
      <c r="C20" s="4" t="s">
        <v>54</v>
      </c>
      <c r="D20" s="4" t="s">
        <v>67</v>
      </c>
      <c r="E20" s="4" t="s">
        <v>67</v>
      </c>
      <c r="F20" s="77">
        <v>0.6</v>
      </c>
      <c r="G20" s="77">
        <v>0.5</v>
      </c>
      <c r="H20" s="77">
        <v>0.5</v>
      </c>
      <c r="I20" s="77">
        <v>0.1</v>
      </c>
      <c r="J20" s="77">
        <v>0.1</v>
      </c>
      <c r="K20" s="77">
        <v>0.3</v>
      </c>
      <c r="L20" s="77">
        <v>1.2</v>
      </c>
    </row>
    <row r="21" spans="2:12" ht="15.75" thickBot="1" x14ac:dyDescent="0.3">
      <c r="B21" s="4" t="s">
        <v>50</v>
      </c>
      <c r="C21" s="4" t="s">
        <v>54</v>
      </c>
      <c r="D21" s="4">
        <v>5</v>
      </c>
      <c r="E21" s="14" t="s">
        <v>37</v>
      </c>
      <c r="F21" s="5">
        <v>9.5000000000000001E-2</v>
      </c>
      <c r="G21" s="5">
        <v>0.06</v>
      </c>
      <c r="H21" s="5">
        <v>0.251</v>
      </c>
      <c r="I21" s="5">
        <v>0.04</v>
      </c>
      <c r="J21" s="5">
        <v>3.6999999999999998E-2</v>
      </c>
      <c r="K21" s="5">
        <v>0.38700000000000001</v>
      </c>
      <c r="L21" s="5">
        <v>0.34300000000000003</v>
      </c>
    </row>
    <row r="22" spans="2:12" ht="15.75" thickBot="1" x14ac:dyDescent="0.3">
      <c r="B22" s="4" t="s">
        <v>51</v>
      </c>
      <c r="C22" s="4" t="s">
        <v>54</v>
      </c>
      <c r="D22" s="4" t="s">
        <v>67</v>
      </c>
      <c r="E22" s="4" t="s">
        <v>68</v>
      </c>
      <c r="F22" s="5">
        <v>2.9</v>
      </c>
      <c r="G22" s="5">
        <v>3.16</v>
      </c>
      <c r="H22" s="5">
        <v>3.62</v>
      </c>
      <c r="I22" s="5">
        <v>4.21</v>
      </c>
      <c r="J22" s="5">
        <v>3.51</v>
      </c>
      <c r="K22" s="5">
        <v>0.21</v>
      </c>
      <c r="L22" s="5">
        <v>0.39</v>
      </c>
    </row>
    <row r="23" spans="2:12" ht="24.75" thickBot="1" x14ac:dyDescent="0.3">
      <c r="B23" s="4" t="s">
        <v>52</v>
      </c>
      <c r="C23" s="4" t="s">
        <v>54</v>
      </c>
      <c r="D23" s="4" t="s">
        <v>69</v>
      </c>
      <c r="E23" s="4">
        <v>1</v>
      </c>
      <c r="F23" s="77">
        <v>2.4E-2</v>
      </c>
      <c r="G23" s="77">
        <v>2E-3</v>
      </c>
      <c r="H23" s="77">
        <v>8.0000000000000002E-3</v>
      </c>
      <c r="I23" s="77">
        <v>1E-3</v>
      </c>
      <c r="J23" s="77">
        <v>1.7000000000000001E-2</v>
      </c>
      <c r="K23" s="77">
        <v>8.9999999999999993E-3</v>
      </c>
      <c r="L23" s="77">
        <v>6.6000000000000003E-2</v>
      </c>
    </row>
    <row r="24" spans="2:12" ht="15.75" customHeight="1" thickBot="1" x14ac:dyDescent="0.3">
      <c r="B24" s="4" t="s">
        <v>45</v>
      </c>
      <c r="C24" s="4" t="s">
        <v>54</v>
      </c>
      <c r="D24" s="14" t="s">
        <v>37</v>
      </c>
      <c r="E24" s="14" t="s">
        <v>37</v>
      </c>
      <c r="F24" s="4" t="s">
        <v>300</v>
      </c>
      <c r="G24" s="4" t="s">
        <v>300</v>
      </c>
      <c r="H24" s="4" t="s">
        <v>300</v>
      </c>
      <c r="I24" s="4" t="s">
        <v>300</v>
      </c>
      <c r="J24" s="4" t="s">
        <v>300</v>
      </c>
      <c r="K24" s="4" t="s">
        <v>300</v>
      </c>
      <c r="L24" s="4" t="s">
        <v>300</v>
      </c>
    </row>
    <row r="25" spans="2:12" ht="15.75" customHeight="1" thickBot="1" x14ac:dyDescent="0.3">
      <c r="B25" s="416" t="s">
        <v>293</v>
      </c>
      <c r="C25" s="416"/>
      <c r="D25" s="416"/>
      <c r="E25" s="416"/>
      <c r="F25" s="416"/>
      <c r="G25" s="416"/>
      <c r="H25" s="416"/>
      <c r="I25" s="416"/>
      <c r="J25" s="416"/>
      <c r="K25" s="416"/>
      <c r="L25" s="416"/>
    </row>
    <row r="26" spans="2:12" ht="1.5" customHeight="1" x14ac:dyDescent="0.25"/>
    <row r="27" spans="2:12" ht="1.5" customHeight="1" thickBot="1" x14ac:dyDescent="0.3"/>
    <row r="28" spans="2:12" ht="24.75" thickBot="1" x14ac:dyDescent="0.3">
      <c r="B28" s="4" t="s">
        <v>57</v>
      </c>
      <c r="C28" s="4" t="s">
        <v>58</v>
      </c>
      <c r="D28" s="14" t="s">
        <v>37</v>
      </c>
      <c r="E28" s="14" t="s">
        <v>37</v>
      </c>
      <c r="F28" s="28">
        <v>15</v>
      </c>
      <c r="G28" s="28">
        <v>11</v>
      </c>
      <c r="H28" s="28">
        <v>7.3</v>
      </c>
      <c r="I28" s="28">
        <v>16</v>
      </c>
      <c r="J28" s="28">
        <v>15</v>
      </c>
      <c r="K28" s="28">
        <v>7.2</v>
      </c>
      <c r="L28" s="28">
        <v>7.2</v>
      </c>
    </row>
    <row r="29" spans="2:12" ht="24.75" thickBot="1" x14ac:dyDescent="0.3">
      <c r="B29" s="4" t="s">
        <v>55</v>
      </c>
      <c r="C29" s="4" t="s">
        <v>58</v>
      </c>
      <c r="D29" s="4" t="s">
        <v>59</v>
      </c>
      <c r="E29" s="4" t="s">
        <v>59</v>
      </c>
      <c r="F29" s="28">
        <v>7.3</v>
      </c>
      <c r="G29" s="28">
        <v>7.3</v>
      </c>
      <c r="H29" s="28">
        <v>3</v>
      </c>
      <c r="I29" s="28">
        <v>11</v>
      </c>
      <c r="J29" s="28">
        <v>7.3</v>
      </c>
      <c r="K29" s="28">
        <v>3.6</v>
      </c>
      <c r="L29" s="28">
        <v>3.6</v>
      </c>
    </row>
    <row r="30" spans="2:12" ht="15.75" thickBot="1" x14ac:dyDescent="0.3">
      <c r="B30" s="4" t="s">
        <v>56</v>
      </c>
      <c r="C30" s="4" t="s">
        <v>58</v>
      </c>
      <c r="D30" s="4" t="s">
        <v>59</v>
      </c>
      <c r="E30" s="14" t="s">
        <v>37</v>
      </c>
      <c r="F30" s="28">
        <v>3</v>
      </c>
      <c r="G30" s="28">
        <v>3.6</v>
      </c>
      <c r="H30" s="28">
        <v>3</v>
      </c>
      <c r="I30" s="28">
        <v>6</v>
      </c>
      <c r="J30" s="28">
        <v>3</v>
      </c>
      <c r="K30" s="28">
        <v>3</v>
      </c>
      <c r="L30" s="28">
        <v>3.6</v>
      </c>
    </row>
    <row r="31" spans="2:12" ht="24" customHeight="1" x14ac:dyDescent="0.25">
      <c r="B31" s="419" t="s">
        <v>322</v>
      </c>
      <c r="C31" s="419"/>
      <c r="D31" s="419"/>
      <c r="E31" s="419"/>
      <c r="F31" s="419"/>
    </row>
    <row r="32" spans="2:12" x14ac:dyDescent="0.25">
      <c r="B32" s="26"/>
      <c r="C32" s="26"/>
    </row>
    <row r="33" spans="2:3" x14ac:dyDescent="0.25">
      <c r="B33" s="26"/>
      <c r="C33" s="26"/>
    </row>
  </sheetData>
  <mergeCells count="9">
    <mergeCell ref="B14:L14"/>
    <mergeCell ref="B25:L25"/>
    <mergeCell ref="B31:F31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colBreaks count="1" manualBreakCount="1">
    <brk id="13" max="32" man="1"/>
  </colBreaks>
  <drawing r:id="rId2"/>
  <legacyDrawing r:id="rId3"/>
  <oleObjects>
    <mc:AlternateContent xmlns:mc="http://schemas.openxmlformats.org/markup-compatibility/2006">
      <mc:Choice Requires="x14">
        <oleObject progId="Paint.Picture" shapeId="12289" r:id="rId4">
          <objectPr defaultSize="0" autoPict="0" r:id="rId5">
            <anchor moveWithCells="1">
              <from>
                <xdr:col>14</xdr:col>
                <xdr:colOff>447675</xdr:colOff>
                <xdr:row>11</xdr:row>
                <xdr:rowOff>247650</xdr:rowOff>
              </from>
              <to>
                <xdr:col>21</xdr:col>
                <xdr:colOff>390525</xdr:colOff>
                <xdr:row>33</xdr:row>
                <xdr:rowOff>28575</xdr:rowOff>
              </to>
            </anchor>
          </objectPr>
        </oleObject>
      </mc:Choice>
      <mc:Fallback>
        <oleObject progId="Paint.Picture" shapeId="1228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L27"/>
  <sheetViews>
    <sheetView showGridLines="0" view="pageBreakPreview" topLeftCell="A13" zoomScaleNormal="145" zoomScaleSheetLayoutView="100" workbookViewId="0">
      <selection activeCell="F18" sqref="F18:L18"/>
    </sheetView>
  </sheetViews>
  <sheetFormatPr baseColWidth="10" defaultColWidth="11.42578125" defaultRowHeight="38.25" customHeight="1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</cols>
  <sheetData>
    <row r="4" spans="2:12" ht="38.25" customHeight="1" x14ac:dyDescent="0.25">
      <c r="B4" s="387" t="s">
        <v>324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2" ht="38.25" customHeight="1" thickBot="1" x14ac:dyDescent="0.3"/>
    <row r="6" spans="2:12" ht="38.25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2" ht="38.25" customHeight="1" thickBot="1" x14ac:dyDescent="0.3">
      <c r="B7" s="382"/>
      <c r="C7" s="382"/>
      <c r="D7" s="19" t="s">
        <v>298</v>
      </c>
      <c r="E7" s="18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9" spans="2:12" ht="38.25" customHeight="1" thickBot="1" x14ac:dyDescent="0.3">
      <c r="B9" s="416" t="s">
        <v>295</v>
      </c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2:12" ht="38.25" customHeight="1" thickBot="1" x14ac:dyDescent="0.3">
      <c r="B10" s="4" t="s">
        <v>41</v>
      </c>
      <c r="C10" s="4" t="s">
        <v>64</v>
      </c>
      <c r="D10" s="4" t="s">
        <v>62</v>
      </c>
      <c r="E10" s="4" t="s">
        <v>63</v>
      </c>
      <c r="F10" s="67">
        <v>3210</v>
      </c>
      <c r="G10" s="67">
        <v>2129</v>
      </c>
      <c r="H10" s="67">
        <v>2840</v>
      </c>
      <c r="I10" s="67">
        <v>2620</v>
      </c>
      <c r="J10" s="67">
        <v>2280</v>
      </c>
      <c r="K10" s="67">
        <v>479</v>
      </c>
      <c r="L10" s="70">
        <v>483</v>
      </c>
    </row>
    <row r="11" spans="2:12" ht="38.25" customHeight="1" thickBot="1" x14ac:dyDescent="0.3">
      <c r="B11" s="4" t="s">
        <v>23</v>
      </c>
      <c r="C11" s="14" t="s">
        <v>37</v>
      </c>
      <c r="D11" s="14" t="s">
        <v>65</v>
      </c>
      <c r="E11" s="4" t="s">
        <v>66</v>
      </c>
      <c r="F11" s="68">
        <v>6.61</v>
      </c>
      <c r="G11" s="68">
        <v>6.68</v>
      </c>
      <c r="H11" s="68">
        <v>6.12</v>
      </c>
      <c r="I11" s="68">
        <v>6.91</v>
      </c>
      <c r="J11" s="68">
        <v>7.03</v>
      </c>
      <c r="K11" s="68">
        <v>7.4</v>
      </c>
      <c r="L11" s="66">
        <v>7.41</v>
      </c>
    </row>
    <row r="12" spans="2:12" ht="38.25" customHeight="1" thickBot="1" x14ac:dyDescent="0.3">
      <c r="B12" s="4" t="s">
        <v>38</v>
      </c>
      <c r="C12" s="4" t="s">
        <v>24</v>
      </c>
      <c r="D12" s="14" t="s">
        <v>37</v>
      </c>
      <c r="E12" s="14" t="s">
        <v>37</v>
      </c>
      <c r="F12" s="67">
        <v>1705</v>
      </c>
      <c r="G12" s="67">
        <v>1104</v>
      </c>
      <c r="H12" s="67">
        <v>1419</v>
      </c>
      <c r="I12" s="67">
        <v>1362</v>
      </c>
      <c r="J12" s="67">
        <v>1184</v>
      </c>
      <c r="K12" s="71">
        <v>240</v>
      </c>
      <c r="L12" s="28">
        <v>243</v>
      </c>
    </row>
    <row r="13" spans="2:12" ht="38.25" customHeight="1" thickBot="1" x14ac:dyDescent="0.3">
      <c r="B13" s="4" t="s">
        <v>39</v>
      </c>
      <c r="C13" s="4" t="s">
        <v>40</v>
      </c>
      <c r="D13" s="14" t="s">
        <v>37</v>
      </c>
      <c r="E13" s="14" t="s">
        <v>37</v>
      </c>
      <c r="F13" s="69">
        <v>23.4</v>
      </c>
      <c r="G13" s="69">
        <v>24.2</v>
      </c>
      <c r="H13" s="69">
        <v>24</v>
      </c>
      <c r="I13" s="69">
        <v>24.4</v>
      </c>
      <c r="J13" s="69">
        <v>23</v>
      </c>
      <c r="K13" s="69">
        <v>23.3</v>
      </c>
      <c r="L13" s="28">
        <v>22.7</v>
      </c>
    </row>
    <row r="14" spans="2:12" ht="38.25" customHeight="1" thickBot="1" x14ac:dyDescent="0.3">
      <c r="B14" s="420" t="s">
        <v>294</v>
      </c>
      <c r="C14" s="420"/>
      <c r="D14" s="420"/>
      <c r="E14" s="420"/>
      <c r="F14" s="420"/>
      <c r="G14" s="420"/>
      <c r="H14" s="420"/>
      <c r="I14" s="420"/>
      <c r="J14" s="420"/>
      <c r="K14" s="420"/>
      <c r="L14" s="420"/>
    </row>
    <row r="15" spans="2:12" ht="38.25" customHeight="1" thickBot="1" x14ac:dyDescent="0.3"/>
    <row r="16" spans="2:12" ht="38.25" customHeight="1" thickBot="1" x14ac:dyDescent="0.3">
      <c r="B16" s="4" t="s">
        <v>85</v>
      </c>
      <c r="C16" s="4" t="s">
        <v>53</v>
      </c>
      <c r="D16" s="14" t="s">
        <v>37</v>
      </c>
      <c r="E16" s="14" t="s">
        <v>37</v>
      </c>
      <c r="F16" s="4">
        <v>16.600000000000001</v>
      </c>
      <c r="G16" s="4">
        <v>24.1</v>
      </c>
      <c r="H16" s="4">
        <v>20.5</v>
      </c>
      <c r="I16" s="4">
        <v>32.5</v>
      </c>
      <c r="J16" s="4">
        <v>58.6</v>
      </c>
      <c r="K16" s="4">
        <v>88.5</v>
      </c>
      <c r="L16" s="4">
        <v>91</v>
      </c>
    </row>
    <row r="17" spans="2:12" ht="38.25" customHeight="1" thickBot="1" x14ac:dyDescent="0.3">
      <c r="B17" s="4" t="s">
        <v>46</v>
      </c>
      <c r="C17" s="4" t="s">
        <v>54</v>
      </c>
      <c r="D17" s="4" t="s">
        <v>59</v>
      </c>
      <c r="E17" s="4" t="s">
        <v>59</v>
      </c>
      <c r="F17" s="4">
        <f>39*5</f>
        <v>195</v>
      </c>
      <c r="G17" s="4">
        <f>34*5</f>
        <v>170</v>
      </c>
      <c r="H17" s="4">
        <f>35*5</f>
        <v>175</v>
      </c>
      <c r="I17" s="4">
        <f>33*5</f>
        <v>165</v>
      </c>
      <c r="J17" s="4">
        <f>26*5</f>
        <v>130</v>
      </c>
      <c r="K17" s="4">
        <f>20*5</f>
        <v>100</v>
      </c>
      <c r="L17" s="4">
        <f>25*5</f>
        <v>125</v>
      </c>
    </row>
    <row r="18" spans="2:12" ht="38.25" customHeight="1" thickBot="1" x14ac:dyDescent="0.3">
      <c r="B18" s="4" t="s">
        <v>48</v>
      </c>
      <c r="C18" s="4" t="s">
        <v>54</v>
      </c>
      <c r="D18" s="4">
        <v>100</v>
      </c>
      <c r="E18" s="4">
        <v>100</v>
      </c>
      <c r="F18" s="5">
        <v>4.3</v>
      </c>
      <c r="G18" s="5">
        <v>5.3</v>
      </c>
      <c r="H18" s="78">
        <v>5.5</v>
      </c>
      <c r="I18" s="5">
        <v>5.2</v>
      </c>
      <c r="J18" s="5">
        <v>3.9</v>
      </c>
      <c r="K18" s="5">
        <v>0.8</v>
      </c>
      <c r="L18" s="5">
        <v>1.1000000000000001</v>
      </c>
    </row>
    <row r="19" spans="2:12" ht="38.25" customHeight="1" thickBot="1" x14ac:dyDescent="0.3">
      <c r="B19" s="4" t="s">
        <v>51</v>
      </c>
      <c r="C19" s="4" t="s">
        <v>54</v>
      </c>
      <c r="D19" s="4" t="s">
        <v>67</v>
      </c>
      <c r="E19" s="4" t="s">
        <v>68</v>
      </c>
      <c r="F19" s="5">
        <v>0.06</v>
      </c>
      <c r="G19" s="5">
        <v>0.97</v>
      </c>
      <c r="H19" s="5">
        <v>0.16</v>
      </c>
      <c r="I19" s="5">
        <v>0.28999999999999998</v>
      </c>
      <c r="J19" s="5">
        <v>0.31</v>
      </c>
      <c r="K19" s="5">
        <v>0.03</v>
      </c>
      <c r="L19" s="5">
        <v>0.81</v>
      </c>
    </row>
    <row r="20" spans="2:12" ht="38.25" customHeight="1" thickBot="1" x14ac:dyDescent="0.3">
      <c r="B20" s="416" t="s">
        <v>293</v>
      </c>
      <c r="C20" s="416"/>
      <c r="D20" s="416"/>
      <c r="E20" s="416"/>
      <c r="F20" s="416"/>
      <c r="G20" s="416"/>
      <c r="H20" s="416"/>
      <c r="I20" s="416"/>
      <c r="J20" s="416"/>
      <c r="K20" s="416"/>
      <c r="L20" s="416"/>
    </row>
    <row r="22" spans="2:12" ht="38.25" customHeight="1" thickBot="1" x14ac:dyDescent="0.3"/>
    <row r="23" spans="2:12" ht="38.25" customHeight="1" thickBot="1" x14ac:dyDescent="0.3">
      <c r="B23" s="4" t="s">
        <v>57</v>
      </c>
      <c r="C23" s="4" t="s">
        <v>58</v>
      </c>
      <c r="D23" s="14" t="s">
        <v>37</v>
      </c>
      <c r="E23" s="14" t="s">
        <v>37</v>
      </c>
      <c r="F23" s="81">
        <v>19</v>
      </c>
      <c r="G23" s="79">
        <v>16</v>
      </c>
      <c r="H23" s="79">
        <v>9.1999999999999993</v>
      </c>
      <c r="I23" s="79">
        <v>13</v>
      </c>
      <c r="J23" s="79">
        <v>12</v>
      </c>
      <c r="K23" s="79">
        <v>9.1999999999999993</v>
      </c>
      <c r="L23" s="79">
        <v>7.3</v>
      </c>
    </row>
    <row r="24" spans="2:12" ht="38.25" customHeight="1" thickBot="1" x14ac:dyDescent="0.3">
      <c r="B24" s="4" t="s">
        <v>55</v>
      </c>
      <c r="C24" s="4" t="s">
        <v>58</v>
      </c>
      <c r="D24" s="4" t="s">
        <v>59</v>
      </c>
      <c r="E24" s="4" t="s">
        <v>59</v>
      </c>
      <c r="F24" s="79">
        <v>9.3000000000000007</v>
      </c>
      <c r="G24" s="81">
        <v>11</v>
      </c>
      <c r="H24" s="79">
        <v>6.1</v>
      </c>
      <c r="I24" s="79">
        <v>6.1</v>
      </c>
      <c r="J24" s="79">
        <v>9.3000000000000007</v>
      </c>
      <c r="K24" s="79">
        <v>3</v>
      </c>
      <c r="L24" s="79">
        <v>3.6</v>
      </c>
    </row>
    <row r="25" spans="2:12" ht="38.25" customHeight="1" x14ac:dyDescent="0.25">
      <c r="B25" s="419" t="s">
        <v>322</v>
      </c>
      <c r="C25" s="419"/>
      <c r="D25" s="419"/>
      <c r="E25" s="419"/>
      <c r="F25" s="419"/>
    </row>
    <row r="26" spans="2:12" ht="38.25" customHeight="1" x14ac:dyDescent="0.25">
      <c r="B26" s="26"/>
      <c r="C26" s="26"/>
    </row>
    <row r="27" spans="2:12" ht="38.25" customHeight="1" x14ac:dyDescent="0.25">
      <c r="B27" s="26"/>
      <c r="C27" s="26"/>
    </row>
  </sheetData>
  <mergeCells count="9">
    <mergeCell ref="B14:L14"/>
    <mergeCell ref="B20:L20"/>
    <mergeCell ref="B25:F25"/>
    <mergeCell ref="B4:L4"/>
    <mergeCell ref="B6:B7"/>
    <mergeCell ref="C6:C7"/>
    <mergeCell ref="D6:E6"/>
    <mergeCell ref="F6:L6"/>
    <mergeCell ref="B9:L9"/>
  </mergeCells>
  <pageMargins left="0.7" right="0.7" top="0.75" bottom="0.75" header="0.3" footer="0.3"/>
  <pageSetup paperSize="9" scale="57" orientation="portrait" r:id="rId1"/>
  <colBreaks count="1" manualBreakCount="1">
    <brk id="13" max="32" man="1"/>
  </colBreaks>
  <drawing r:id="rId2"/>
  <legacyDrawing r:id="rId3"/>
  <oleObjects>
    <mc:AlternateContent xmlns:mc="http://schemas.openxmlformats.org/markup-compatibility/2006">
      <mc:Choice Requires="x14">
        <oleObject progId="Paint.Picture" shapeId="16385" r:id="rId4">
          <objectPr defaultSize="0" autoPict="0" r:id="rId5">
            <anchor moveWithCells="1">
              <from>
                <xdr:col>13</xdr:col>
                <xdr:colOff>152400</xdr:colOff>
                <xdr:row>2</xdr:row>
                <xdr:rowOff>28575</xdr:rowOff>
              </from>
              <to>
                <xdr:col>20</xdr:col>
                <xdr:colOff>95250</xdr:colOff>
                <xdr:row>10</xdr:row>
                <xdr:rowOff>342900</xdr:rowOff>
              </to>
            </anchor>
          </objectPr>
        </oleObject>
      </mc:Choice>
      <mc:Fallback>
        <oleObject progId="Paint.Picture" shapeId="16385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B1:Z32"/>
  <sheetViews>
    <sheetView showGridLines="0" view="pageBreakPreview" zoomScale="90" zoomScaleNormal="145" zoomScaleSheetLayoutView="90" workbookViewId="0">
      <selection activeCell="F20" sqref="F20:L21"/>
    </sheetView>
  </sheetViews>
  <sheetFormatPr baseColWidth="10" defaultColWidth="11.42578125" defaultRowHeight="15" x14ac:dyDescent="0.25"/>
  <cols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12.710937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387" t="s">
        <v>325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2:12" ht="2.25" customHeight="1" thickBot="1" x14ac:dyDescent="0.3"/>
    <row r="6" spans="2:12" ht="21.6" customHeight="1" thickBot="1" x14ac:dyDescent="0.3">
      <c r="B6" s="381" t="s">
        <v>34</v>
      </c>
      <c r="C6" s="381" t="s">
        <v>296</v>
      </c>
      <c r="D6" s="389" t="s">
        <v>33</v>
      </c>
      <c r="E6" s="389"/>
      <c r="F6" s="417" t="s">
        <v>137</v>
      </c>
      <c r="G6" s="403"/>
      <c r="H6" s="403"/>
      <c r="I6" s="403"/>
      <c r="J6" s="403"/>
      <c r="K6" s="403"/>
      <c r="L6" s="404"/>
    </row>
    <row r="7" spans="2:12" ht="46.5" customHeight="1" thickBot="1" x14ac:dyDescent="0.3">
      <c r="B7" s="429"/>
      <c r="C7" s="429"/>
      <c r="D7" s="85" t="s">
        <v>298</v>
      </c>
      <c r="E7" s="86" t="s">
        <v>297</v>
      </c>
      <c r="F7" s="24" t="s">
        <v>27</v>
      </c>
      <c r="G7" s="24" t="s">
        <v>28</v>
      </c>
      <c r="H7" s="24" t="s">
        <v>29</v>
      </c>
      <c r="I7" s="24" t="s">
        <v>30</v>
      </c>
      <c r="J7" s="24" t="s">
        <v>31</v>
      </c>
      <c r="K7" s="24" t="s">
        <v>25</v>
      </c>
      <c r="L7" s="24" t="s">
        <v>32</v>
      </c>
    </row>
    <row r="8" spans="2:12" ht="15.75" customHeight="1" thickBot="1" x14ac:dyDescent="0.3">
      <c r="B8" s="427" t="s">
        <v>295</v>
      </c>
      <c r="C8" s="420"/>
      <c r="D8" s="420"/>
      <c r="E8" s="420"/>
      <c r="F8" s="420"/>
      <c r="G8" s="420"/>
      <c r="H8" s="420"/>
      <c r="I8" s="420"/>
      <c r="J8" s="420"/>
      <c r="K8" s="420"/>
      <c r="L8" s="428"/>
    </row>
    <row r="9" spans="2:12" ht="24.75" thickBot="1" x14ac:dyDescent="0.3">
      <c r="B9" s="87" t="s">
        <v>41</v>
      </c>
      <c r="C9" s="87" t="s">
        <v>64</v>
      </c>
      <c r="D9" s="87" t="s">
        <v>62</v>
      </c>
      <c r="E9" s="87" t="s">
        <v>63</v>
      </c>
      <c r="F9" s="88">
        <v>3050</v>
      </c>
      <c r="G9" s="89">
        <v>2048</v>
      </c>
      <c r="H9" s="88">
        <v>2740</v>
      </c>
      <c r="I9" s="88">
        <v>2520</v>
      </c>
      <c r="J9" s="89">
        <v>2222</v>
      </c>
      <c r="K9" s="89">
        <v>512</v>
      </c>
      <c r="L9" s="90">
        <v>509</v>
      </c>
    </row>
    <row r="10" spans="2:12" ht="15.75" thickBot="1" x14ac:dyDescent="0.3">
      <c r="B10" s="82" t="s">
        <v>23</v>
      </c>
      <c r="C10" s="83" t="s">
        <v>37</v>
      </c>
      <c r="D10" s="83" t="s">
        <v>65</v>
      </c>
      <c r="E10" s="82" t="s">
        <v>66</v>
      </c>
      <c r="F10" s="69">
        <v>7.33</v>
      </c>
      <c r="G10" s="69">
        <v>7.25</v>
      </c>
      <c r="H10" s="69">
        <v>7.34</v>
      </c>
      <c r="I10" s="69">
        <v>7.41</v>
      </c>
      <c r="J10" s="69">
        <v>7.49</v>
      </c>
      <c r="K10" s="69">
        <v>7.74</v>
      </c>
      <c r="L10" s="28">
        <v>7.67</v>
      </c>
    </row>
    <row r="11" spans="2:12" ht="24.75" thickBot="1" x14ac:dyDescent="0.3">
      <c r="B11" s="82" t="s">
        <v>38</v>
      </c>
      <c r="C11" s="82" t="s">
        <v>24</v>
      </c>
      <c r="D11" s="83" t="s">
        <v>37</v>
      </c>
      <c r="E11" s="83" t="s">
        <v>37</v>
      </c>
      <c r="F11" s="67">
        <v>1685</v>
      </c>
      <c r="G11" s="67">
        <v>1113</v>
      </c>
      <c r="H11" s="67">
        <v>1505</v>
      </c>
      <c r="I11" s="67">
        <v>1382</v>
      </c>
      <c r="J11" s="67">
        <v>1212</v>
      </c>
      <c r="K11" s="67">
        <v>266</v>
      </c>
      <c r="L11" s="70">
        <v>264</v>
      </c>
    </row>
    <row r="12" spans="2:12" ht="15.75" thickBot="1" x14ac:dyDescent="0.3">
      <c r="B12" s="82" t="s">
        <v>39</v>
      </c>
      <c r="C12" s="82" t="s">
        <v>40</v>
      </c>
      <c r="D12" s="83" t="s">
        <v>37</v>
      </c>
      <c r="E12" s="83" t="s">
        <v>37</v>
      </c>
      <c r="F12" s="69">
        <v>21.6</v>
      </c>
      <c r="G12" s="69">
        <v>21.6</v>
      </c>
      <c r="H12" s="69">
        <v>21.6</v>
      </c>
      <c r="I12" s="69">
        <v>21.7</v>
      </c>
      <c r="J12" s="69">
        <v>21.7</v>
      </c>
      <c r="K12" s="69">
        <v>21.6</v>
      </c>
      <c r="L12" s="28">
        <v>21.8</v>
      </c>
    </row>
    <row r="13" spans="2:12" ht="15.75" thickBot="1" x14ac:dyDescent="0.3">
      <c r="B13" s="82" t="s">
        <v>327</v>
      </c>
      <c r="C13" s="82" t="s">
        <v>53</v>
      </c>
      <c r="D13" s="83" t="s">
        <v>37</v>
      </c>
      <c r="E13" s="83" t="s">
        <v>37</v>
      </c>
      <c r="F13" s="4">
        <v>11.5</v>
      </c>
      <c r="G13" s="4">
        <v>17.600000000000001</v>
      </c>
      <c r="H13" s="4">
        <v>21.8</v>
      </c>
      <c r="I13" s="4">
        <v>35.6</v>
      </c>
      <c r="J13" s="4">
        <v>57.6</v>
      </c>
      <c r="K13" s="4">
        <v>348</v>
      </c>
      <c r="L13" s="4">
        <v>559</v>
      </c>
    </row>
    <row r="14" spans="2:12" ht="15.75" customHeight="1" thickBot="1" x14ac:dyDescent="0.3">
      <c r="B14" s="420" t="s">
        <v>294</v>
      </c>
      <c r="C14" s="420"/>
      <c r="D14" s="420"/>
      <c r="E14" s="420"/>
      <c r="F14" s="420"/>
      <c r="G14" s="420"/>
      <c r="H14" s="420"/>
      <c r="I14" s="420"/>
      <c r="J14" s="420"/>
      <c r="K14" s="420"/>
      <c r="L14" s="420"/>
    </row>
    <row r="15" spans="2:12" ht="1.5" customHeight="1" thickBot="1" x14ac:dyDescent="0.3"/>
    <row r="16" spans="2:12" ht="15.75" thickBot="1" x14ac:dyDescent="0.3">
      <c r="B16" s="82" t="s">
        <v>46</v>
      </c>
      <c r="C16" s="82" t="s">
        <v>54</v>
      </c>
      <c r="D16" s="82" t="s">
        <v>59</v>
      </c>
      <c r="E16" s="82" t="s">
        <v>59</v>
      </c>
      <c r="F16" s="4">
        <f>44*5</f>
        <v>220</v>
      </c>
      <c r="G16" s="4">
        <f>28*5</f>
        <v>140</v>
      </c>
      <c r="H16" s="4">
        <f>46*5</f>
        <v>230</v>
      </c>
      <c r="I16" s="4">
        <f>46*5</f>
        <v>230</v>
      </c>
      <c r="J16" s="4">
        <f>41*5</f>
        <v>205</v>
      </c>
      <c r="K16" s="4">
        <f>26*5</f>
        <v>130</v>
      </c>
      <c r="L16" s="4">
        <f>24*5</f>
        <v>120</v>
      </c>
    </row>
    <row r="17" spans="2:26" ht="15.75" thickBot="1" x14ac:dyDescent="0.3">
      <c r="B17" s="82" t="s">
        <v>326</v>
      </c>
      <c r="C17" s="82" t="s">
        <v>54</v>
      </c>
      <c r="D17" s="82">
        <v>100</v>
      </c>
      <c r="E17" s="82">
        <v>100</v>
      </c>
      <c r="F17" s="5">
        <v>3.1</v>
      </c>
      <c r="G17" s="5">
        <v>4.0999999999999996</v>
      </c>
      <c r="H17" s="78">
        <v>3.1</v>
      </c>
      <c r="I17" s="5">
        <v>3.2</v>
      </c>
      <c r="J17" s="5">
        <v>3.4</v>
      </c>
      <c r="K17" s="5">
        <v>0.5</v>
      </c>
      <c r="L17" s="78">
        <v>1</v>
      </c>
    </row>
    <row r="18" spans="2:26" ht="15.75" thickBot="1" x14ac:dyDescent="0.3">
      <c r="B18" s="82" t="s">
        <v>51</v>
      </c>
      <c r="C18" s="82" t="s">
        <v>54</v>
      </c>
      <c r="D18" s="82" t="s">
        <v>67</v>
      </c>
      <c r="E18" s="82" t="s">
        <v>68</v>
      </c>
      <c r="F18" s="79">
        <v>0.39</v>
      </c>
      <c r="G18" s="79">
        <v>0.56000000000000005</v>
      </c>
      <c r="H18" s="79">
        <v>0.76</v>
      </c>
      <c r="I18" s="79">
        <v>0.28999999999999998</v>
      </c>
      <c r="J18" s="79">
        <v>0.96</v>
      </c>
      <c r="K18" s="84">
        <v>0.08</v>
      </c>
      <c r="L18" s="84">
        <v>0.04</v>
      </c>
    </row>
    <row r="19" spans="2:26" ht="15.75" customHeight="1" thickBot="1" x14ac:dyDescent="0.3">
      <c r="B19" s="416" t="s">
        <v>293</v>
      </c>
      <c r="C19" s="416"/>
      <c r="D19" s="416"/>
      <c r="E19" s="416"/>
      <c r="F19" s="416"/>
      <c r="G19" s="416"/>
      <c r="H19" s="416"/>
      <c r="I19" s="416"/>
      <c r="J19" s="416"/>
      <c r="K19" s="416"/>
      <c r="L19" s="416"/>
    </row>
    <row r="20" spans="2:26" ht="24.75" thickBot="1" x14ac:dyDescent="0.3">
      <c r="B20" s="82" t="s">
        <v>57</v>
      </c>
      <c r="C20" s="82" t="s">
        <v>58</v>
      </c>
      <c r="D20" s="14" t="s">
        <v>37</v>
      </c>
      <c r="E20" s="14" t="s">
        <v>37</v>
      </c>
      <c r="F20" s="81">
        <v>23</v>
      </c>
      <c r="G20" s="81">
        <v>15</v>
      </c>
      <c r="H20" s="81">
        <v>11</v>
      </c>
      <c r="I20" s="81">
        <v>15</v>
      </c>
      <c r="J20" s="81">
        <v>11</v>
      </c>
      <c r="K20" s="81">
        <v>9</v>
      </c>
      <c r="L20" s="81">
        <v>6</v>
      </c>
    </row>
    <row r="21" spans="2:26" ht="26.25" customHeight="1" thickBot="1" x14ac:dyDescent="0.3">
      <c r="B21" s="82" t="s">
        <v>55</v>
      </c>
      <c r="C21" s="82" t="s">
        <v>58</v>
      </c>
      <c r="D21" s="4" t="s">
        <v>59</v>
      </c>
      <c r="E21" s="4" t="s">
        <v>59</v>
      </c>
      <c r="F21" s="79">
        <v>9.1</v>
      </c>
      <c r="G21" s="79">
        <v>7.2</v>
      </c>
      <c r="H21" s="79">
        <v>7.2</v>
      </c>
      <c r="I21" s="79">
        <v>11</v>
      </c>
      <c r="J21" s="79">
        <v>3.6</v>
      </c>
      <c r="K21" s="79">
        <v>3</v>
      </c>
      <c r="L21" s="79">
        <v>3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4" t="s">
        <v>89</v>
      </c>
      <c r="C24" s="4" t="s">
        <v>54</v>
      </c>
      <c r="D24" s="14"/>
      <c r="E24" s="14"/>
      <c r="F24" s="82">
        <v>1000</v>
      </c>
      <c r="G24" s="82">
        <v>1000</v>
      </c>
      <c r="H24" s="82">
        <v>1000</v>
      </c>
      <c r="I24" s="82">
        <v>1000</v>
      </c>
      <c r="J24" s="82">
        <v>1000</v>
      </c>
      <c r="K24" s="82">
        <v>1000</v>
      </c>
      <c r="L24" s="82">
        <v>1000</v>
      </c>
    </row>
    <row r="25" spans="2:26" ht="20.25" customHeight="1" thickBot="1" x14ac:dyDescent="0.3">
      <c r="B25" s="4" t="s">
        <v>89</v>
      </c>
      <c r="C25" s="4" t="s">
        <v>54</v>
      </c>
      <c r="D25" s="14"/>
      <c r="E25" s="14"/>
      <c r="F25" s="82">
        <v>100</v>
      </c>
      <c r="G25" s="82">
        <v>100</v>
      </c>
      <c r="H25" s="82">
        <v>100</v>
      </c>
      <c r="I25" s="82">
        <v>100</v>
      </c>
      <c r="J25" s="82">
        <v>100</v>
      </c>
      <c r="K25" s="82">
        <v>100</v>
      </c>
      <c r="L25" s="82">
        <v>100</v>
      </c>
    </row>
    <row r="26" spans="2:26" ht="24.75" thickBot="1" x14ac:dyDescent="0.3">
      <c r="B26" s="4" t="s">
        <v>125</v>
      </c>
      <c r="C26" s="4" t="s">
        <v>54</v>
      </c>
      <c r="D26" s="14"/>
      <c r="E26" s="14"/>
      <c r="F26" s="82">
        <v>0.2</v>
      </c>
      <c r="G26" s="82">
        <v>0.2</v>
      </c>
      <c r="H26" s="82">
        <v>0.2</v>
      </c>
      <c r="I26" s="82">
        <v>0.2</v>
      </c>
      <c r="J26" s="82">
        <v>0.2</v>
      </c>
      <c r="K26" s="82">
        <v>0.2</v>
      </c>
      <c r="L26" s="82">
        <v>0.2</v>
      </c>
    </row>
    <row r="27" spans="2:26" ht="24.75" thickBot="1" x14ac:dyDescent="0.3">
      <c r="B27" s="4" t="s">
        <v>126</v>
      </c>
      <c r="C27" s="4" t="s">
        <v>54</v>
      </c>
      <c r="D27" s="14"/>
      <c r="E27" s="14"/>
      <c r="F27" s="82">
        <v>0.5</v>
      </c>
      <c r="G27" s="82">
        <v>0.5</v>
      </c>
      <c r="H27" s="82">
        <v>0.5</v>
      </c>
      <c r="I27" s="82">
        <v>0.5</v>
      </c>
      <c r="J27" s="82">
        <v>0.5</v>
      </c>
      <c r="K27" s="82">
        <v>0.5</v>
      </c>
      <c r="L27" s="82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11</v>
      </c>
      <c r="U31" s="98">
        <v>7.2</v>
      </c>
      <c r="V31" s="98">
        <v>15</v>
      </c>
      <c r="W31" s="98">
        <v>7.3</v>
      </c>
      <c r="X31" s="98">
        <v>9.3000000000000007</v>
      </c>
      <c r="Y31" s="98">
        <v>3.6</v>
      </c>
      <c r="Z31" s="98">
        <v>9.1999999999999993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3.6</v>
      </c>
      <c r="U32" s="98">
        <v>7.2</v>
      </c>
      <c r="V32" s="98">
        <v>3</v>
      </c>
      <c r="W32" s="98">
        <v>3.6</v>
      </c>
      <c r="X32" s="98">
        <v>6.1</v>
      </c>
      <c r="Y32" s="98">
        <v>3.6</v>
      </c>
      <c r="Z32" s="98">
        <v>6.1</v>
      </c>
    </row>
  </sheetData>
  <mergeCells count="11">
    <mergeCell ref="B8:L8"/>
    <mergeCell ref="B4:L4"/>
    <mergeCell ref="B6:B7"/>
    <mergeCell ref="C6:C7"/>
    <mergeCell ref="D6:E6"/>
    <mergeCell ref="F6:L6"/>
    <mergeCell ref="Q29:S29"/>
    <mergeCell ref="T29:Z29"/>
    <mergeCell ref="B14:L14"/>
    <mergeCell ref="B19:L19"/>
    <mergeCell ref="B22:F22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drawing r:id="rId2"/>
  <legacyDrawing r:id="rId3"/>
  <oleObjects>
    <mc:AlternateContent xmlns:mc="http://schemas.openxmlformats.org/markup-compatibility/2006">
      <mc:Choice Requires="x14">
        <oleObject progId="Paint.Picture" shapeId="20481" r:id="rId4">
          <objectPr defaultSize="0" autoPict="0" r:id="rId5">
            <anchor moveWithCells="1">
              <from>
                <xdr:col>1</xdr:col>
                <xdr:colOff>76200</xdr:colOff>
                <xdr:row>35</xdr:row>
                <xdr:rowOff>38100</xdr:rowOff>
              </from>
              <to>
                <xdr:col>7</xdr:col>
                <xdr:colOff>352425</xdr:colOff>
                <xdr:row>54</xdr:row>
                <xdr:rowOff>104775</xdr:rowOff>
              </to>
            </anchor>
          </objectPr>
        </oleObject>
      </mc:Choice>
      <mc:Fallback>
        <oleObject progId="Paint.Picture" shapeId="20481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B1:Z32"/>
  <sheetViews>
    <sheetView showGridLines="0" view="pageBreakPreview" topLeftCell="A4" zoomScale="130" zoomScaleNormal="145" zoomScaleSheetLayoutView="130" workbookViewId="0">
      <selection activeCell="C9" sqref="C9"/>
    </sheetView>
  </sheetViews>
  <sheetFormatPr baseColWidth="10" defaultColWidth="11.42578125" defaultRowHeight="15" x14ac:dyDescent="0.25"/>
  <cols>
    <col min="1" max="1" width="2.140625" customWidth="1"/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34" t="s">
        <v>328</v>
      </c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2:12" ht="2.25" customHeight="1" thickBot="1" x14ac:dyDescent="0.3"/>
    <row r="6" spans="2:12" ht="21.6" customHeight="1" thickBot="1" x14ac:dyDescent="0.3">
      <c r="B6" s="436" t="s">
        <v>34</v>
      </c>
      <c r="C6" s="436" t="s">
        <v>296</v>
      </c>
      <c r="D6" s="438" t="s">
        <v>33</v>
      </c>
      <c r="E6" s="438"/>
      <c r="F6" s="439" t="s">
        <v>137</v>
      </c>
      <c r="G6" s="440"/>
      <c r="H6" s="440"/>
      <c r="I6" s="440"/>
      <c r="J6" s="440"/>
      <c r="K6" s="440"/>
      <c r="L6" s="441"/>
    </row>
    <row r="7" spans="2:12" ht="46.5" customHeight="1" thickBot="1" x14ac:dyDescent="0.3">
      <c r="B7" s="437"/>
      <c r="C7" s="437"/>
      <c r="D7" s="101" t="s">
        <v>298</v>
      </c>
      <c r="E7" s="102" t="s">
        <v>297</v>
      </c>
      <c r="F7" s="103" t="s">
        <v>27</v>
      </c>
      <c r="G7" s="103" t="s">
        <v>28</v>
      </c>
      <c r="H7" s="103" t="s">
        <v>29</v>
      </c>
      <c r="I7" s="103" t="s">
        <v>30</v>
      </c>
      <c r="J7" s="103" t="s">
        <v>31</v>
      </c>
      <c r="K7" s="103" t="s">
        <v>25</v>
      </c>
      <c r="L7" s="103" t="s">
        <v>32</v>
      </c>
    </row>
    <row r="8" spans="2:12" ht="15.75" customHeight="1" thickBot="1" x14ac:dyDescent="0.3">
      <c r="B8" s="432" t="s">
        <v>295</v>
      </c>
      <c r="C8" s="430"/>
      <c r="D8" s="430"/>
      <c r="E8" s="430"/>
      <c r="F8" s="430"/>
      <c r="G8" s="430"/>
      <c r="H8" s="430"/>
      <c r="I8" s="430"/>
      <c r="J8" s="430"/>
      <c r="K8" s="430"/>
      <c r="L8" s="433"/>
    </row>
    <row r="9" spans="2:12" ht="24.75" thickBot="1" x14ac:dyDescent="0.3">
      <c r="B9" s="104" t="s">
        <v>41</v>
      </c>
      <c r="C9" s="104" t="s">
        <v>64</v>
      </c>
      <c r="D9" s="104" t="s">
        <v>62</v>
      </c>
      <c r="E9" s="104" t="s">
        <v>63</v>
      </c>
      <c r="F9" s="105">
        <v>3300</v>
      </c>
      <c r="G9" s="106">
        <v>2210</v>
      </c>
      <c r="H9" s="105">
        <v>2960</v>
      </c>
      <c r="I9" s="105">
        <v>2800</v>
      </c>
      <c r="J9" s="105">
        <v>2520</v>
      </c>
      <c r="K9" s="106">
        <v>520</v>
      </c>
      <c r="L9" s="107">
        <v>530</v>
      </c>
    </row>
    <row r="10" spans="2:12" ht="15.75" thickBot="1" x14ac:dyDescent="0.3">
      <c r="B10" s="108" t="s">
        <v>23</v>
      </c>
      <c r="C10" s="109" t="s">
        <v>37</v>
      </c>
      <c r="D10" s="109" t="s">
        <v>65</v>
      </c>
      <c r="E10" s="108" t="s">
        <v>66</v>
      </c>
      <c r="F10" s="110">
        <v>7.29</v>
      </c>
      <c r="G10" s="110">
        <v>6.61</v>
      </c>
      <c r="H10" s="110">
        <v>7.03</v>
      </c>
      <c r="I10" s="110">
        <v>7.52</v>
      </c>
      <c r="J10" s="110">
        <v>7.75</v>
      </c>
      <c r="K10" s="110">
        <v>8.2100000000000009</v>
      </c>
      <c r="L10" s="111">
        <v>8</v>
      </c>
    </row>
    <row r="11" spans="2:12" ht="24.75" thickBot="1" x14ac:dyDescent="0.3">
      <c r="B11" s="108" t="s">
        <v>38</v>
      </c>
      <c r="C11" s="108" t="s">
        <v>24</v>
      </c>
      <c r="D11" s="109" t="s">
        <v>37</v>
      </c>
      <c r="E11" s="109" t="s">
        <v>37</v>
      </c>
      <c r="F11" s="112">
        <v>1697</v>
      </c>
      <c r="G11" s="112">
        <v>1119</v>
      </c>
      <c r="H11" s="112">
        <v>1515</v>
      </c>
      <c r="I11" s="112">
        <v>1430</v>
      </c>
      <c r="J11" s="112">
        <v>1284</v>
      </c>
      <c r="K11" s="112">
        <v>254</v>
      </c>
      <c r="L11" s="113">
        <v>256</v>
      </c>
    </row>
    <row r="12" spans="2:12" ht="15.75" thickBot="1" x14ac:dyDescent="0.3">
      <c r="B12" s="108" t="s">
        <v>39</v>
      </c>
      <c r="C12" s="108" t="s">
        <v>40</v>
      </c>
      <c r="D12" s="109" t="s">
        <v>37</v>
      </c>
      <c r="E12" s="109" t="s">
        <v>37</v>
      </c>
      <c r="F12" s="110">
        <v>25</v>
      </c>
      <c r="G12" s="110">
        <v>24.9</v>
      </c>
      <c r="H12" s="110">
        <v>25.2</v>
      </c>
      <c r="I12" s="110">
        <v>24.2</v>
      </c>
      <c r="J12" s="110">
        <v>23.2</v>
      </c>
      <c r="K12" s="110">
        <v>21.5</v>
      </c>
      <c r="L12" s="111">
        <v>20.5</v>
      </c>
    </row>
    <row r="13" spans="2:12" ht="15.75" thickBot="1" x14ac:dyDescent="0.3">
      <c r="B13" s="108" t="s">
        <v>327</v>
      </c>
      <c r="C13" s="108" t="s">
        <v>53</v>
      </c>
      <c r="D13" s="109" t="s">
        <v>37</v>
      </c>
      <c r="E13" s="109" t="s">
        <v>37</v>
      </c>
      <c r="F13" s="114">
        <v>17.100000000000001</v>
      </c>
      <c r="G13" s="114">
        <v>12.4</v>
      </c>
      <c r="H13" s="114">
        <v>14</v>
      </c>
      <c r="I13" s="114">
        <v>26.8</v>
      </c>
      <c r="J13" s="114">
        <v>37</v>
      </c>
      <c r="K13" s="114">
        <v>121</v>
      </c>
      <c r="L13" s="114">
        <v>153</v>
      </c>
    </row>
    <row r="14" spans="2:12" ht="15.75" customHeight="1" thickBot="1" x14ac:dyDescent="0.3">
      <c r="B14" s="430" t="s">
        <v>294</v>
      </c>
      <c r="C14" s="430"/>
      <c r="D14" s="430"/>
      <c r="E14" s="430"/>
      <c r="F14" s="430"/>
      <c r="G14" s="430"/>
      <c r="H14" s="430"/>
      <c r="I14" s="430"/>
      <c r="J14" s="430"/>
      <c r="K14" s="430"/>
      <c r="L14" s="430"/>
    </row>
    <row r="15" spans="2:12" ht="1.5" customHeight="1" thickBot="1" x14ac:dyDescent="0.3"/>
    <row r="16" spans="2:12" ht="15.75" thickBot="1" x14ac:dyDescent="0.3">
      <c r="B16" s="108" t="s">
        <v>46</v>
      </c>
      <c r="C16" s="108" t="s">
        <v>54</v>
      </c>
      <c r="D16" s="108" t="s">
        <v>59</v>
      </c>
      <c r="E16" s="108" t="s">
        <v>59</v>
      </c>
      <c r="F16" s="114">
        <f>37*5</f>
        <v>185</v>
      </c>
      <c r="G16" s="114">
        <f>28*5</f>
        <v>140</v>
      </c>
      <c r="H16" s="114">
        <f>33*5</f>
        <v>165</v>
      </c>
      <c r="I16" s="114">
        <f>36*5</f>
        <v>180</v>
      </c>
      <c r="J16" s="114">
        <f>36*5</f>
        <v>180</v>
      </c>
      <c r="K16" s="114">
        <f>22*5</f>
        <v>110</v>
      </c>
      <c r="L16" s="114">
        <f>17*5</f>
        <v>85</v>
      </c>
    </row>
    <row r="17" spans="2:26" ht="15.75" thickBot="1" x14ac:dyDescent="0.3">
      <c r="B17" s="108" t="s">
        <v>326</v>
      </c>
      <c r="C17" s="108" t="s">
        <v>54</v>
      </c>
      <c r="D17" s="108">
        <v>100</v>
      </c>
      <c r="E17" s="108">
        <v>100</v>
      </c>
      <c r="F17" s="115">
        <v>5.4</v>
      </c>
      <c r="G17" s="115">
        <v>4.7</v>
      </c>
      <c r="H17" s="116">
        <v>5.0999999999999996</v>
      </c>
      <c r="I17" s="116">
        <v>5</v>
      </c>
      <c r="J17" s="115">
        <v>4.9000000000000004</v>
      </c>
      <c r="K17" s="115">
        <v>1.1000000000000001</v>
      </c>
      <c r="L17" s="116">
        <v>1.2</v>
      </c>
    </row>
    <row r="18" spans="2:26" ht="15.75" thickBot="1" x14ac:dyDescent="0.3">
      <c r="B18" s="108" t="s">
        <v>51</v>
      </c>
      <c r="C18" s="108" t="s">
        <v>54</v>
      </c>
      <c r="D18" s="108" t="s">
        <v>67</v>
      </c>
      <c r="E18" s="108" t="s">
        <v>68</v>
      </c>
      <c r="F18" s="117">
        <v>0.26300000000000001</v>
      </c>
      <c r="G18" s="117">
        <v>0.36399999999999999</v>
      </c>
      <c r="H18" s="117">
        <v>0.33</v>
      </c>
      <c r="I18" s="117">
        <v>0.28999999999999998</v>
      </c>
      <c r="J18" s="117">
        <v>0.29699999999999999</v>
      </c>
      <c r="K18" s="116">
        <v>0.21</v>
      </c>
      <c r="L18" s="116">
        <v>0.24</v>
      </c>
    </row>
    <row r="19" spans="2:26" ht="15.75" customHeight="1" thickBot="1" x14ac:dyDescent="0.3">
      <c r="B19" s="431" t="s">
        <v>293</v>
      </c>
      <c r="C19" s="431"/>
      <c r="D19" s="431"/>
      <c r="E19" s="431"/>
      <c r="F19" s="431"/>
      <c r="G19" s="431"/>
      <c r="H19" s="431"/>
      <c r="I19" s="431"/>
      <c r="J19" s="431"/>
      <c r="K19" s="431"/>
      <c r="L19" s="431"/>
    </row>
    <row r="20" spans="2:26" ht="24.75" thickBot="1" x14ac:dyDescent="0.3">
      <c r="B20" s="108" t="s">
        <v>57</v>
      </c>
      <c r="C20" s="108" t="s">
        <v>58</v>
      </c>
      <c r="D20" s="118" t="s">
        <v>37</v>
      </c>
      <c r="E20" s="118" t="s">
        <v>37</v>
      </c>
      <c r="F20" s="119">
        <v>43</v>
      </c>
      <c r="G20" s="119">
        <v>23</v>
      </c>
      <c r="H20" s="119">
        <v>21</v>
      </c>
      <c r="I20" s="119">
        <v>21</v>
      </c>
      <c r="J20" s="119">
        <v>24</v>
      </c>
      <c r="K20" s="119">
        <v>9</v>
      </c>
      <c r="L20" s="119">
        <v>6</v>
      </c>
    </row>
    <row r="21" spans="2:26" ht="26.25" customHeight="1" thickBot="1" x14ac:dyDescent="0.3">
      <c r="B21" s="108" t="s">
        <v>55</v>
      </c>
      <c r="C21" s="108" t="s">
        <v>58</v>
      </c>
      <c r="D21" s="114" t="s">
        <v>59</v>
      </c>
      <c r="E21" s="114" t="s">
        <v>59</v>
      </c>
      <c r="F21" s="119">
        <v>23</v>
      </c>
      <c r="G21" s="116">
        <v>9.1</v>
      </c>
      <c r="H21" s="119">
        <v>15</v>
      </c>
      <c r="I21" s="119">
        <v>15</v>
      </c>
      <c r="J21" s="119">
        <v>15</v>
      </c>
      <c r="K21" s="119">
        <v>3</v>
      </c>
      <c r="L21" s="119">
        <v>3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4" t="s">
        <v>89</v>
      </c>
      <c r="C24" s="4" t="s">
        <v>54</v>
      </c>
      <c r="D24" s="14"/>
      <c r="E24" s="14"/>
      <c r="F24" s="82">
        <v>1000</v>
      </c>
      <c r="G24" s="82">
        <v>1000</v>
      </c>
      <c r="H24" s="82">
        <v>1000</v>
      </c>
      <c r="I24" s="82">
        <v>1000</v>
      </c>
      <c r="J24" s="82">
        <v>1000</v>
      </c>
      <c r="K24" s="82">
        <v>1000</v>
      </c>
      <c r="L24" s="82">
        <v>1000</v>
      </c>
    </row>
    <row r="25" spans="2:26" ht="20.25" customHeight="1" thickBot="1" x14ac:dyDescent="0.3">
      <c r="B25" s="4" t="s">
        <v>89</v>
      </c>
      <c r="C25" s="4" t="s">
        <v>54</v>
      </c>
      <c r="D25" s="14"/>
      <c r="E25" s="14"/>
      <c r="F25" s="82">
        <v>100</v>
      </c>
      <c r="G25" s="82">
        <v>100</v>
      </c>
      <c r="H25" s="82">
        <v>100</v>
      </c>
      <c r="I25" s="82">
        <v>100</v>
      </c>
      <c r="J25" s="82">
        <v>100</v>
      </c>
      <c r="K25" s="82">
        <v>100</v>
      </c>
      <c r="L25" s="82">
        <v>100</v>
      </c>
    </row>
    <row r="26" spans="2:26" ht="24.75" thickBot="1" x14ac:dyDescent="0.3">
      <c r="B26" s="4" t="s">
        <v>125</v>
      </c>
      <c r="C26" s="4" t="s">
        <v>54</v>
      </c>
      <c r="D26" s="14"/>
      <c r="E26" s="14"/>
      <c r="F26" s="82">
        <v>0.2</v>
      </c>
      <c r="G26" s="82">
        <v>0.2</v>
      </c>
      <c r="H26" s="82">
        <v>0.2</v>
      </c>
      <c r="I26" s="82">
        <v>0.2</v>
      </c>
      <c r="J26" s="82">
        <v>0.2</v>
      </c>
      <c r="K26" s="82">
        <v>0.2</v>
      </c>
      <c r="L26" s="82">
        <v>0.2</v>
      </c>
    </row>
    <row r="27" spans="2:26" ht="24.75" thickBot="1" x14ac:dyDescent="0.3">
      <c r="B27" s="4" t="s">
        <v>126</v>
      </c>
      <c r="C27" s="4" t="s">
        <v>54</v>
      </c>
      <c r="D27" s="14"/>
      <c r="E27" s="14"/>
      <c r="F27" s="82">
        <v>0.5</v>
      </c>
      <c r="G27" s="82">
        <v>0.5</v>
      </c>
      <c r="H27" s="82">
        <v>0.5</v>
      </c>
      <c r="I27" s="82">
        <v>0.5</v>
      </c>
      <c r="J27" s="82">
        <v>0.5</v>
      </c>
      <c r="K27" s="82">
        <v>0.5</v>
      </c>
      <c r="L27" s="82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43</v>
      </c>
      <c r="U31" s="98">
        <v>23</v>
      </c>
      <c r="V31" s="98">
        <v>21</v>
      </c>
      <c r="W31" s="98">
        <v>21</v>
      </c>
      <c r="X31" s="98">
        <v>24</v>
      </c>
      <c r="Y31" s="98">
        <v>9</v>
      </c>
      <c r="Z31" s="98">
        <v>6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23</v>
      </c>
      <c r="U32" s="98">
        <v>9.1</v>
      </c>
      <c r="V32" s="98">
        <v>15</v>
      </c>
      <c r="W32" s="98">
        <v>15</v>
      </c>
      <c r="X32" s="98">
        <v>15</v>
      </c>
      <c r="Y32" s="98">
        <v>3</v>
      </c>
      <c r="Z32" s="98">
        <v>3</v>
      </c>
    </row>
  </sheetData>
  <mergeCells count="11">
    <mergeCell ref="B8:L8"/>
    <mergeCell ref="B4:L4"/>
    <mergeCell ref="B6:B7"/>
    <mergeCell ref="C6:C7"/>
    <mergeCell ref="D6:E6"/>
    <mergeCell ref="F6:L6"/>
    <mergeCell ref="B14:L14"/>
    <mergeCell ref="B19:L19"/>
    <mergeCell ref="B22:F22"/>
    <mergeCell ref="Q29:S29"/>
    <mergeCell ref="T29:Z29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drawing r:id="rId2"/>
  <legacyDrawing r:id="rId3"/>
  <oleObjects>
    <mc:AlternateContent xmlns:mc="http://schemas.openxmlformats.org/markup-compatibility/2006">
      <mc:Choice Requires="x14">
        <oleObject progId="Paint.Picture" shapeId="24577" r:id="rId4">
          <objectPr defaultSize="0" autoPict="0" r:id="rId5">
            <anchor moveWithCells="1">
              <from>
                <xdr:col>1</xdr:col>
                <xdr:colOff>28575</xdr:colOff>
                <xdr:row>28</xdr:row>
                <xdr:rowOff>76200</xdr:rowOff>
              </from>
              <to>
                <xdr:col>7</xdr:col>
                <xdr:colOff>304800</xdr:colOff>
                <xdr:row>44</xdr:row>
                <xdr:rowOff>152400</xdr:rowOff>
              </to>
            </anchor>
          </objectPr>
        </oleObject>
      </mc:Choice>
      <mc:Fallback>
        <oleObject progId="Paint.Picture" shapeId="24577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1:Z32"/>
  <sheetViews>
    <sheetView showGridLines="0" view="pageBreakPreview" topLeftCell="A43" zoomScale="150" zoomScaleNormal="145" zoomScaleSheetLayoutView="150" workbookViewId="0">
      <selection activeCell="C9" sqref="C9"/>
    </sheetView>
  </sheetViews>
  <sheetFormatPr baseColWidth="10" defaultColWidth="11.42578125" defaultRowHeight="15" x14ac:dyDescent="0.25"/>
  <cols>
    <col min="1" max="1" width="2.140625" customWidth="1"/>
    <col min="2" max="2" width="15.710937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47" t="s">
        <v>329</v>
      </c>
      <c r="C4" s="448"/>
      <c r="D4" s="448"/>
      <c r="E4" s="448"/>
      <c r="F4" s="448"/>
      <c r="G4" s="448"/>
      <c r="H4" s="448"/>
      <c r="I4" s="448"/>
      <c r="J4" s="448"/>
      <c r="K4" s="448"/>
      <c r="L4" s="448"/>
    </row>
    <row r="5" spans="2:12" ht="2.25" customHeight="1" thickBot="1" x14ac:dyDescent="0.3"/>
    <row r="6" spans="2:12" ht="21.6" customHeight="1" thickBot="1" x14ac:dyDescent="0.3">
      <c r="B6" s="449" t="s">
        <v>34</v>
      </c>
      <c r="C6" s="449" t="s">
        <v>296</v>
      </c>
      <c r="D6" s="451" t="s">
        <v>33</v>
      </c>
      <c r="E6" s="451"/>
      <c r="F6" s="452" t="s">
        <v>137</v>
      </c>
      <c r="G6" s="453"/>
      <c r="H6" s="453"/>
      <c r="I6" s="453"/>
      <c r="J6" s="453"/>
      <c r="K6" s="453"/>
      <c r="L6" s="454"/>
    </row>
    <row r="7" spans="2:12" ht="46.5" customHeight="1" thickBot="1" x14ac:dyDescent="0.3">
      <c r="B7" s="450"/>
      <c r="C7" s="450"/>
      <c r="D7" s="120" t="s">
        <v>298</v>
      </c>
      <c r="E7" s="121" t="s">
        <v>297</v>
      </c>
      <c r="F7" s="122" t="s">
        <v>27</v>
      </c>
      <c r="G7" s="122" t="s">
        <v>28</v>
      </c>
      <c r="H7" s="122" t="s">
        <v>29</v>
      </c>
      <c r="I7" s="122" t="s">
        <v>30</v>
      </c>
      <c r="J7" s="122" t="s">
        <v>31</v>
      </c>
      <c r="K7" s="122" t="s">
        <v>25</v>
      </c>
      <c r="L7" s="122" t="s">
        <v>32</v>
      </c>
    </row>
    <row r="8" spans="2:12" ht="15.75" customHeight="1" thickBot="1" x14ac:dyDescent="0.3">
      <c r="B8" s="444" t="s">
        <v>295</v>
      </c>
      <c r="C8" s="445"/>
      <c r="D8" s="445"/>
      <c r="E8" s="445"/>
      <c r="F8" s="445"/>
      <c r="G8" s="445"/>
      <c r="H8" s="445"/>
      <c r="I8" s="445"/>
      <c r="J8" s="445"/>
      <c r="K8" s="445"/>
      <c r="L8" s="446"/>
    </row>
    <row r="9" spans="2:12" ht="24.75" thickBot="1" x14ac:dyDescent="0.3">
      <c r="B9" s="123" t="s">
        <v>41</v>
      </c>
      <c r="C9" s="123" t="s">
        <v>64</v>
      </c>
      <c r="D9" s="123" t="s">
        <v>62</v>
      </c>
      <c r="E9" s="123" t="s">
        <v>63</v>
      </c>
      <c r="F9" s="124">
        <v>3770</v>
      </c>
      <c r="G9" s="125">
        <v>2098</v>
      </c>
      <c r="H9" s="124">
        <v>2970</v>
      </c>
      <c r="I9" s="124">
        <v>2700</v>
      </c>
      <c r="J9" s="139">
        <v>2380</v>
      </c>
      <c r="K9" s="125">
        <v>515</v>
      </c>
      <c r="L9" s="126">
        <v>519</v>
      </c>
    </row>
    <row r="10" spans="2:12" ht="15.75" thickBot="1" x14ac:dyDescent="0.3">
      <c r="B10" s="127" t="s">
        <v>23</v>
      </c>
      <c r="C10" s="128" t="s">
        <v>37</v>
      </c>
      <c r="D10" s="128" t="s">
        <v>65</v>
      </c>
      <c r="E10" s="127" t="s">
        <v>66</v>
      </c>
      <c r="F10" s="129">
        <v>6.76</v>
      </c>
      <c r="G10" s="129">
        <v>6.88</v>
      </c>
      <c r="H10" s="129">
        <v>6.9</v>
      </c>
      <c r="I10" s="129">
        <v>6.84</v>
      </c>
      <c r="J10" s="129">
        <v>6.95</v>
      </c>
      <c r="K10" s="129">
        <v>7.2</v>
      </c>
      <c r="L10" s="130">
        <v>7.12</v>
      </c>
    </row>
    <row r="11" spans="2:12" ht="24.75" thickBot="1" x14ac:dyDescent="0.3">
      <c r="B11" s="127" t="s">
        <v>38</v>
      </c>
      <c r="C11" s="127" t="s">
        <v>24</v>
      </c>
      <c r="D11" s="128" t="s">
        <v>37</v>
      </c>
      <c r="E11" s="128" t="s">
        <v>37</v>
      </c>
      <c r="F11" s="131">
        <v>1951</v>
      </c>
      <c r="G11" s="131">
        <v>1060</v>
      </c>
      <c r="H11" s="131">
        <v>1522</v>
      </c>
      <c r="I11" s="131">
        <v>1358</v>
      </c>
      <c r="J11" s="131">
        <v>1206</v>
      </c>
      <c r="K11" s="131">
        <v>297</v>
      </c>
      <c r="L11" s="132">
        <v>251</v>
      </c>
    </row>
    <row r="12" spans="2:12" ht="15.75" thickBot="1" x14ac:dyDescent="0.3">
      <c r="B12" s="127" t="s">
        <v>39</v>
      </c>
      <c r="C12" s="127" t="s">
        <v>40</v>
      </c>
      <c r="D12" s="128" t="s">
        <v>37</v>
      </c>
      <c r="E12" s="128" t="s">
        <v>37</v>
      </c>
      <c r="F12" s="129">
        <v>24.8</v>
      </c>
      <c r="G12" s="129">
        <v>23.8</v>
      </c>
      <c r="H12" s="129">
        <v>24.5</v>
      </c>
      <c r="I12" s="129">
        <v>24.6</v>
      </c>
      <c r="J12" s="129">
        <v>24.2</v>
      </c>
      <c r="K12" s="129">
        <v>22</v>
      </c>
      <c r="L12" s="130">
        <v>22.4</v>
      </c>
    </row>
    <row r="13" spans="2:12" ht="15.75" thickBot="1" x14ac:dyDescent="0.3">
      <c r="B13" s="127" t="s">
        <v>327</v>
      </c>
      <c r="C13" s="127" t="s">
        <v>53</v>
      </c>
      <c r="D13" s="128" t="s">
        <v>37</v>
      </c>
      <c r="E13" s="128" t="s">
        <v>37</v>
      </c>
      <c r="F13" s="133">
        <v>18.04</v>
      </c>
      <c r="G13" s="133">
        <v>10.08</v>
      </c>
      <c r="H13" s="133">
        <v>25.6</v>
      </c>
      <c r="I13" s="133">
        <v>23.8</v>
      </c>
      <c r="J13" s="133">
        <v>27.9</v>
      </c>
      <c r="K13" s="133">
        <v>101</v>
      </c>
      <c r="L13" s="133">
        <v>156</v>
      </c>
    </row>
    <row r="14" spans="2:12" ht="15.75" customHeight="1" thickBot="1" x14ac:dyDescent="0.3">
      <c r="B14" s="442" t="s">
        <v>294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</row>
    <row r="15" spans="2:12" ht="1.5" customHeight="1" thickBot="1" x14ac:dyDescent="0.3"/>
    <row r="16" spans="2:12" ht="15.75" thickBot="1" x14ac:dyDescent="0.3">
      <c r="B16" s="127" t="s">
        <v>46</v>
      </c>
      <c r="C16" s="127" t="s">
        <v>54</v>
      </c>
      <c r="D16" s="127" t="s">
        <v>59</v>
      </c>
      <c r="E16" s="127" t="s">
        <v>59</v>
      </c>
      <c r="F16" s="133">
        <f>40*5</f>
        <v>200</v>
      </c>
      <c r="G16" s="133">
        <f>30*5</f>
        <v>150</v>
      </c>
      <c r="H16" s="133">
        <f>38*5</f>
        <v>190</v>
      </c>
      <c r="I16" s="133">
        <f>39*5</f>
        <v>195</v>
      </c>
      <c r="J16" s="133">
        <f>46*5</f>
        <v>230</v>
      </c>
      <c r="K16" s="133">
        <f>20*5</f>
        <v>100</v>
      </c>
      <c r="L16" s="133">
        <f>19*5</f>
        <v>95</v>
      </c>
    </row>
    <row r="17" spans="2:26" ht="15.75" thickBot="1" x14ac:dyDescent="0.3">
      <c r="B17" s="127" t="s">
        <v>326</v>
      </c>
      <c r="C17" s="127" t="s">
        <v>54</v>
      </c>
      <c r="D17" s="127">
        <v>100</v>
      </c>
      <c r="E17" s="127">
        <v>100</v>
      </c>
      <c r="F17" s="134">
        <v>12.4</v>
      </c>
      <c r="G17" s="134">
        <v>11.6</v>
      </c>
      <c r="H17" s="135">
        <v>12.6</v>
      </c>
      <c r="I17" s="135">
        <v>12.3</v>
      </c>
      <c r="J17" s="134">
        <v>13.7</v>
      </c>
      <c r="K17" s="134">
        <v>10.3</v>
      </c>
      <c r="L17" s="135">
        <v>11.2</v>
      </c>
    </row>
    <row r="18" spans="2:26" ht="15.75" thickBot="1" x14ac:dyDescent="0.3">
      <c r="B18" s="127" t="s">
        <v>51</v>
      </c>
      <c r="C18" s="127" t="s">
        <v>54</v>
      </c>
      <c r="D18" s="127" t="s">
        <v>67</v>
      </c>
      <c r="E18" s="127" t="s">
        <v>68</v>
      </c>
      <c r="F18" s="136">
        <v>0.51</v>
      </c>
      <c r="G18" s="136">
        <v>0.62</v>
      </c>
      <c r="H18" s="136">
        <v>0.39300000000000002</v>
      </c>
      <c r="I18" s="136">
        <v>0.6</v>
      </c>
      <c r="J18" s="140">
        <v>0.21</v>
      </c>
      <c r="K18" s="136">
        <v>0.38100000000000001</v>
      </c>
      <c r="L18" s="136">
        <v>0.44</v>
      </c>
    </row>
    <row r="19" spans="2:26" ht="15.75" customHeight="1" thickBot="1" x14ac:dyDescent="0.3">
      <c r="B19" s="443" t="s">
        <v>293</v>
      </c>
      <c r="C19" s="443"/>
      <c r="D19" s="443"/>
      <c r="E19" s="443"/>
      <c r="F19" s="443"/>
      <c r="G19" s="443"/>
      <c r="H19" s="443"/>
      <c r="I19" s="443"/>
      <c r="J19" s="443"/>
      <c r="K19" s="443"/>
      <c r="L19" s="443"/>
    </row>
    <row r="20" spans="2:26" ht="24.75" thickBot="1" x14ac:dyDescent="0.3">
      <c r="B20" s="127" t="s">
        <v>57</v>
      </c>
      <c r="C20" s="127" t="s">
        <v>58</v>
      </c>
      <c r="D20" s="137" t="s">
        <v>37</v>
      </c>
      <c r="E20" s="137" t="s">
        <v>37</v>
      </c>
      <c r="F20" s="138">
        <v>93</v>
      </c>
      <c r="G20" s="138">
        <v>43</v>
      </c>
      <c r="H20" s="138">
        <v>35</v>
      </c>
      <c r="I20" s="138">
        <v>43</v>
      </c>
      <c r="J20" s="138">
        <v>35</v>
      </c>
      <c r="K20" s="138">
        <v>15</v>
      </c>
      <c r="L20" s="138">
        <v>15</v>
      </c>
    </row>
    <row r="21" spans="2:26" ht="26.25" customHeight="1" thickBot="1" x14ac:dyDescent="0.3">
      <c r="B21" s="127" t="s">
        <v>55</v>
      </c>
      <c r="C21" s="127" t="s">
        <v>58</v>
      </c>
      <c r="D21" s="133" t="s">
        <v>59</v>
      </c>
      <c r="E21" s="133" t="s">
        <v>59</v>
      </c>
      <c r="F21" s="138">
        <v>43</v>
      </c>
      <c r="G21" s="138">
        <v>23</v>
      </c>
      <c r="H21" s="138">
        <v>28</v>
      </c>
      <c r="I21" s="138">
        <v>23</v>
      </c>
      <c r="J21" s="138">
        <v>21</v>
      </c>
      <c r="K21" s="138">
        <v>15</v>
      </c>
      <c r="L21" s="138">
        <v>15</v>
      </c>
    </row>
    <row r="22" spans="2:26" ht="24" customHeight="1" thickBot="1" x14ac:dyDescent="0.3">
      <c r="B22" s="419" t="s">
        <v>322</v>
      </c>
      <c r="C22" s="419"/>
      <c r="D22" s="419"/>
      <c r="E22" s="419"/>
      <c r="F22" s="419"/>
    </row>
    <row r="23" spans="2:26" ht="8.25" customHeight="1" thickBot="1" x14ac:dyDescent="0.3">
      <c r="B23" s="80"/>
      <c r="C23" s="80"/>
      <c r="D23" s="80"/>
      <c r="E23" s="80"/>
      <c r="F23" s="80"/>
    </row>
    <row r="24" spans="2:26" ht="23.25" customHeight="1" thickBot="1" x14ac:dyDescent="0.3">
      <c r="B24" s="133" t="s">
        <v>89</v>
      </c>
      <c r="C24" s="133" t="s">
        <v>54</v>
      </c>
      <c r="D24" s="137"/>
      <c r="E24" s="137"/>
      <c r="F24" s="127">
        <v>1000</v>
      </c>
      <c r="G24" s="127">
        <v>1000</v>
      </c>
      <c r="H24" s="127">
        <v>1000</v>
      </c>
      <c r="I24" s="127">
        <v>1000</v>
      </c>
      <c r="J24" s="127">
        <v>1000</v>
      </c>
      <c r="K24" s="127">
        <v>1000</v>
      </c>
      <c r="L24" s="127">
        <v>1000</v>
      </c>
    </row>
    <row r="25" spans="2:26" ht="20.25" customHeight="1" thickBot="1" x14ac:dyDescent="0.3">
      <c r="B25" s="133" t="s">
        <v>89</v>
      </c>
      <c r="C25" s="133" t="s">
        <v>54</v>
      </c>
      <c r="D25" s="137"/>
      <c r="E25" s="137"/>
      <c r="F25" s="127">
        <v>100</v>
      </c>
      <c r="G25" s="127">
        <v>100</v>
      </c>
      <c r="H25" s="127">
        <v>100</v>
      </c>
      <c r="I25" s="127">
        <v>100</v>
      </c>
      <c r="J25" s="127">
        <v>100</v>
      </c>
      <c r="K25" s="127">
        <v>100</v>
      </c>
      <c r="L25" s="127">
        <v>100</v>
      </c>
    </row>
    <row r="26" spans="2:26" ht="24.75" thickBot="1" x14ac:dyDescent="0.3">
      <c r="B26" s="133" t="s">
        <v>125</v>
      </c>
      <c r="C26" s="133" t="s">
        <v>54</v>
      </c>
      <c r="D26" s="137"/>
      <c r="E26" s="137"/>
      <c r="F26" s="127">
        <v>0.2</v>
      </c>
      <c r="G26" s="127">
        <v>0.2</v>
      </c>
      <c r="H26" s="127">
        <v>0.2</v>
      </c>
      <c r="I26" s="127">
        <v>0.2</v>
      </c>
      <c r="J26" s="127">
        <v>0.2</v>
      </c>
      <c r="K26" s="127">
        <v>0.2</v>
      </c>
      <c r="L26" s="127">
        <v>0.2</v>
      </c>
    </row>
    <row r="27" spans="2:26" ht="24.75" thickBot="1" x14ac:dyDescent="0.3">
      <c r="B27" s="133" t="s">
        <v>126</v>
      </c>
      <c r="C27" s="133" t="s">
        <v>54</v>
      </c>
      <c r="D27" s="137"/>
      <c r="E27" s="137"/>
      <c r="F27" s="127">
        <v>0.5</v>
      </c>
      <c r="G27" s="127">
        <v>0.5</v>
      </c>
      <c r="H27" s="127">
        <v>0.5</v>
      </c>
      <c r="I27" s="127">
        <v>0.5</v>
      </c>
      <c r="J27" s="127">
        <v>0.5</v>
      </c>
      <c r="K27" s="127">
        <v>0.5</v>
      </c>
      <c r="L27" s="127">
        <v>0.5</v>
      </c>
    </row>
    <row r="28" spans="2:26" ht="15.75" thickBot="1" x14ac:dyDescent="0.3"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5.75" thickBot="1" x14ac:dyDescent="0.3">
      <c r="N29" s="92"/>
      <c r="O29" s="92"/>
      <c r="P29" s="93"/>
      <c r="Q29" s="421" t="s">
        <v>136</v>
      </c>
      <c r="R29" s="422"/>
      <c r="S29" s="423"/>
      <c r="T29" s="424" t="s">
        <v>137</v>
      </c>
      <c r="U29" s="425"/>
      <c r="V29" s="425"/>
      <c r="W29" s="425"/>
      <c r="X29" s="425"/>
      <c r="Y29" s="425"/>
      <c r="Z29" s="426"/>
    </row>
    <row r="30" spans="2:26" ht="39" thickBot="1" x14ac:dyDescent="0.3">
      <c r="N30" s="92"/>
      <c r="O30" s="92"/>
      <c r="P30" s="94" t="s">
        <v>35</v>
      </c>
      <c r="Q30" s="95" t="s">
        <v>133</v>
      </c>
      <c r="R30" s="95" t="s">
        <v>134</v>
      </c>
      <c r="S30" s="95" t="s">
        <v>135</v>
      </c>
      <c r="T30" s="96" t="s">
        <v>27</v>
      </c>
      <c r="U30" s="96" t="s">
        <v>28</v>
      </c>
      <c r="V30" s="96" t="s">
        <v>29</v>
      </c>
      <c r="W30" s="96" t="s">
        <v>30</v>
      </c>
      <c r="X30" s="96" t="s">
        <v>31</v>
      </c>
      <c r="Y30" s="96" t="s">
        <v>25</v>
      </c>
      <c r="Z30" s="96" t="s">
        <v>32</v>
      </c>
    </row>
    <row r="31" spans="2:26" ht="24.75" customHeight="1" thickBot="1" x14ac:dyDescent="0.3">
      <c r="O31" s="100" t="s">
        <v>132</v>
      </c>
      <c r="P31" s="97" t="s">
        <v>58</v>
      </c>
      <c r="Q31" s="98" t="s">
        <v>37</v>
      </c>
      <c r="R31" s="98" t="s">
        <v>37</v>
      </c>
      <c r="S31" s="98" t="s">
        <v>37</v>
      </c>
      <c r="T31" s="98">
        <v>93</v>
      </c>
      <c r="U31" s="98">
        <v>43</v>
      </c>
      <c r="V31" s="98">
        <v>35</v>
      </c>
      <c r="W31" s="98">
        <v>43</v>
      </c>
      <c r="X31" s="98">
        <v>35</v>
      </c>
      <c r="Y31" s="98">
        <v>15</v>
      </c>
      <c r="Z31" s="98">
        <v>15</v>
      </c>
    </row>
    <row r="32" spans="2:26" ht="24.75" customHeight="1" thickBot="1" x14ac:dyDescent="0.3">
      <c r="O32" s="100" t="s">
        <v>93</v>
      </c>
      <c r="P32" s="97" t="s">
        <v>58</v>
      </c>
      <c r="Q32" s="99">
        <v>1000</v>
      </c>
      <c r="R32" s="99">
        <v>2000</v>
      </c>
      <c r="S32" s="99">
        <v>1000</v>
      </c>
      <c r="T32" s="98">
        <v>43</v>
      </c>
      <c r="U32" s="98">
        <v>23</v>
      </c>
      <c r="V32" s="98">
        <v>28</v>
      </c>
      <c r="W32" s="98">
        <v>23</v>
      </c>
      <c r="X32" s="98">
        <v>21</v>
      </c>
      <c r="Y32" s="98">
        <v>15</v>
      </c>
      <c r="Z32" s="98">
        <v>15</v>
      </c>
    </row>
  </sheetData>
  <mergeCells count="11">
    <mergeCell ref="B8:L8"/>
    <mergeCell ref="B4:L4"/>
    <mergeCell ref="B6:B7"/>
    <mergeCell ref="C6:C7"/>
    <mergeCell ref="D6:E6"/>
    <mergeCell ref="F6:L6"/>
    <mergeCell ref="B14:L14"/>
    <mergeCell ref="B19:L19"/>
    <mergeCell ref="B22:F22"/>
    <mergeCell ref="Q29:S29"/>
    <mergeCell ref="T29:Z29"/>
  </mergeCells>
  <pageMargins left="0.7" right="0.7" top="0.75" bottom="0.75" header="0.3" footer="0.3"/>
  <pageSetup paperSize="9" scale="45" orientation="portrait" r:id="rId1"/>
  <colBreaks count="1" manualBreakCount="1">
    <brk id="13" max="35" man="1"/>
  </colBreaks>
  <drawing r:id="rId2"/>
  <legacyDrawing r:id="rId3"/>
  <oleObjects>
    <mc:AlternateContent xmlns:mc="http://schemas.openxmlformats.org/markup-compatibility/2006">
      <mc:Choice Requires="x14">
        <oleObject progId="Paint.Picture" shapeId="28673" r:id="rId4">
          <objectPr defaultSize="0" autoPict="0" r:id="rId5">
            <anchor moveWithCells="1">
              <from>
                <xdr:col>1</xdr:col>
                <xdr:colOff>838200</xdr:colOff>
                <xdr:row>28</xdr:row>
                <xdr:rowOff>66675</xdr:rowOff>
              </from>
              <to>
                <xdr:col>8</xdr:col>
                <xdr:colOff>600075</xdr:colOff>
                <xdr:row>44</xdr:row>
                <xdr:rowOff>142875</xdr:rowOff>
              </to>
            </anchor>
          </objectPr>
        </oleObject>
      </mc:Choice>
      <mc:Fallback>
        <oleObject progId="Paint.Picture" shapeId="28673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FFCC"/>
  </sheetPr>
  <dimension ref="B1:Z39"/>
  <sheetViews>
    <sheetView showGridLines="0" view="pageBreakPreview" topLeftCell="A4" zoomScale="80" zoomScaleNormal="145" zoomScaleSheetLayoutView="80" workbookViewId="0">
      <selection activeCell="C11" sqref="C11"/>
    </sheetView>
  </sheetViews>
  <sheetFormatPr baseColWidth="10" defaultColWidth="11.42578125" defaultRowHeight="15" x14ac:dyDescent="0.25"/>
  <cols>
    <col min="1" max="1" width="2.140625" customWidth="1"/>
    <col min="2" max="2" width="19.14062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37.5" customHeight="1" x14ac:dyDescent="0.25">
      <c r="B4" s="458" t="s">
        <v>331</v>
      </c>
      <c r="C4" s="459"/>
      <c r="D4" s="459"/>
      <c r="E4" s="459"/>
      <c r="F4" s="459"/>
      <c r="G4" s="459"/>
      <c r="H4" s="459"/>
      <c r="I4" s="459"/>
      <c r="J4" s="459"/>
      <c r="K4" s="459"/>
      <c r="L4" s="459"/>
    </row>
    <row r="5" spans="2:12" ht="2.25" customHeight="1" thickBot="1" x14ac:dyDescent="0.3"/>
    <row r="6" spans="2:12" ht="21.6" customHeight="1" thickBot="1" x14ac:dyDescent="0.3">
      <c r="B6" s="460" t="s">
        <v>34</v>
      </c>
      <c r="C6" s="460" t="s">
        <v>296</v>
      </c>
      <c r="D6" s="462" t="s">
        <v>33</v>
      </c>
      <c r="E6" s="462"/>
      <c r="F6" s="463" t="s">
        <v>137</v>
      </c>
      <c r="G6" s="464"/>
      <c r="H6" s="464"/>
      <c r="I6" s="464"/>
      <c r="J6" s="464"/>
      <c r="K6" s="464"/>
      <c r="L6" s="465"/>
    </row>
    <row r="7" spans="2:12" ht="46.5" customHeight="1" thickBot="1" x14ac:dyDescent="0.3">
      <c r="B7" s="461"/>
      <c r="C7" s="461"/>
      <c r="D7" s="141" t="s">
        <v>298</v>
      </c>
      <c r="E7" s="142" t="s">
        <v>297</v>
      </c>
      <c r="F7" s="143" t="s">
        <v>27</v>
      </c>
      <c r="G7" s="143" t="s">
        <v>28</v>
      </c>
      <c r="H7" s="143" t="s">
        <v>29</v>
      </c>
      <c r="I7" s="143" t="s">
        <v>30</v>
      </c>
      <c r="J7" s="143" t="s">
        <v>31</v>
      </c>
      <c r="K7" s="143" t="s">
        <v>25</v>
      </c>
      <c r="L7" s="143" t="s">
        <v>32</v>
      </c>
    </row>
    <row r="8" spans="2:12" ht="15.75" customHeight="1" thickBot="1" x14ac:dyDescent="0.3">
      <c r="B8" s="455" t="s">
        <v>295</v>
      </c>
      <c r="C8" s="456"/>
      <c r="D8" s="456"/>
      <c r="E8" s="456"/>
      <c r="F8" s="456"/>
      <c r="G8" s="456"/>
      <c r="H8" s="456"/>
      <c r="I8" s="456"/>
      <c r="J8" s="456"/>
      <c r="K8" s="456"/>
      <c r="L8" s="457"/>
    </row>
    <row r="9" spans="2:12" ht="21.75" customHeight="1" thickBot="1" x14ac:dyDescent="0.3">
      <c r="B9" s="144" t="s">
        <v>41</v>
      </c>
      <c r="C9" s="144" t="s">
        <v>64</v>
      </c>
      <c r="D9" s="144" t="s">
        <v>62</v>
      </c>
      <c r="E9" s="144" t="s">
        <v>63</v>
      </c>
      <c r="F9" s="145">
        <f>3.36*1000</f>
        <v>3360</v>
      </c>
      <c r="G9" s="146">
        <f>2.17*1000</f>
        <v>2170</v>
      </c>
      <c r="H9" s="145">
        <f>2.89*1000</f>
        <v>2890</v>
      </c>
      <c r="I9" s="145">
        <f>2.69*1000</f>
        <v>2690</v>
      </c>
      <c r="J9" s="147">
        <f>2.29*1000</f>
        <v>2290</v>
      </c>
      <c r="K9" s="146">
        <f>0.4*1000</f>
        <v>400</v>
      </c>
      <c r="L9" s="148">
        <f>0.39*1000</f>
        <v>390</v>
      </c>
    </row>
    <row r="10" spans="2:12" ht="15.75" thickBot="1" x14ac:dyDescent="0.3">
      <c r="B10" s="149" t="s">
        <v>23</v>
      </c>
      <c r="C10" s="150" t="s">
        <v>37</v>
      </c>
      <c r="D10" s="150" t="s">
        <v>65</v>
      </c>
      <c r="E10" s="149" t="s">
        <v>66</v>
      </c>
      <c r="F10" s="151">
        <v>7.87</v>
      </c>
      <c r="G10" s="151">
        <v>7.54</v>
      </c>
      <c r="H10" s="151">
        <v>7.23</v>
      </c>
      <c r="I10" s="151">
        <v>7.54</v>
      </c>
      <c r="J10" s="151">
        <v>7.84</v>
      </c>
      <c r="K10" s="151">
        <v>8.25</v>
      </c>
      <c r="L10" s="152">
        <v>7.93</v>
      </c>
    </row>
    <row r="11" spans="2:12" ht="15.75" thickBot="1" x14ac:dyDescent="0.3">
      <c r="B11" s="149" t="s">
        <v>38</v>
      </c>
      <c r="C11" s="149" t="s">
        <v>24</v>
      </c>
      <c r="D11" s="150" t="s">
        <v>37</v>
      </c>
      <c r="E11" s="150" t="s">
        <v>37</v>
      </c>
      <c r="F11" s="153">
        <v>1728</v>
      </c>
      <c r="G11" s="153">
        <v>1100</v>
      </c>
      <c r="H11" s="153">
        <v>1470</v>
      </c>
      <c r="I11" s="153">
        <v>1371</v>
      </c>
      <c r="J11" s="153">
        <v>1162</v>
      </c>
      <c r="K11" s="153">
        <v>194.5</v>
      </c>
      <c r="L11" s="154">
        <v>187</v>
      </c>
    </row>
    <row r="12" spans="2:12" ht="15.75" thickBot="1" x14ac:dyDescent="0.3">
      <c r="B12" s="149" t="s">
        <v>39</v>
      </c>
      <c r="C12" s="149" t="s">
        <v>40</v>
      </c>
      <c r="D12" s="150" t="s">
        <v>37</v>
      </c>
      <c r="E12" s="150" t="s">
        <v>37</v>
      </c>
      <c r="F12" s="151">
        <v>26.6</v>
      </c>
      <c r="G12" s="151">
        <v>26.4</v>
      </c>
      <c r="H12" s="151">
        <v>26.5</v>
      </c>
      <c r="I12" s="151">
        <v>26.5</v>
      </c>
      <c r="J12" s="151">
        <v>26.8</v>
      </c>
      <c r="K12" s="151">
        <v>22.8</v>
      </c>
      <c r="L12" s="152">
        <v>23.8</v>
      </c>
    </row>
    <row r="13" spans="2:12" ht="15.75" thickBot="1" x14ac:dyDescent="0.3">
      <c r="B13" s="149" t="s">
        <v>327</v>
      </c>
      <c r="C13" s="149" t="s">
        <v>53</v>
      </c>
      <c r="D13" s="150" t="s">
        <v>37</v>
      </c>
      <c r="E13" s="150" t="s">
        <v>37</v>
      </c>
      <c r="F13" s="155">
        <v>11.3</v>
      </c>
      <c r="G13" s="155">
        <v>13.3</v>
      </c>
      <c r="H13" s="155">
        <v>20.9</v>
      </c>
      <c r="I13" s="155">
        <v>18.8</v>
      </c>
      <c r="J13" s="155">
        <v>29.7</v>
      </c>
      <c r="K13" s="155">
        <v>153</v>
      </c>
      <c r="L13" s="155">
        <v>205</v>
      </c>
    </row>
    <row r="14" spans="2:12" ht="15.75" customHeight="1" thickBot="1" x14ac:dyDescent="0.3">
      <c r="B14" s="455" t="s">
        <v>294</v>
      </c>
      <c r="C14" s="456"/>
      <c r="D14" s="456"/>
      <c r="E14" s="456"/>
      <c r="F14" s="456"/>
      <c r="G14" s="456"/>
      <c r="H14" s="456"/>
      <c r="I14" s="456"/>
      <c r="J14" s="456"/>
      <c r="K14" s="456"/>
      <c r="L14" s="457"/>
    </row>
    <row r="15" spans="2:12" ht="7.5" customHeight="1" thickBot="1" x14ac:dyDescent="0.3"/>
    <row r="16" spans="2:12" ht="18" customHeight="1" thickBot="1" x14ac:dyDescent="0.3">
      <c r="B16" s="149" t="s">
        <v>46</v>
      </c>
      <c r="C16" s="149" t="s">
        <v>54</v>
      </c>
      <c r="D16" s="149" t="s">
        <v>59</v>
      </c>
      <c r="E16" s="149" t="s">
        <v>59</v>
      </c>
      <c r="F16" s="155">
        <f>35*5</f>
        <v>175</v>
      </c>
      <c r="G16" s="155">
        <f>38*5</f>
        <v>190</v>
      </c>
      <c r="H16" s="155">
        <f>32*5</f>
        <v>160</v>
      </c>
      <c r="I16" s="155">
        <f>34*5</f>
        <v>170</v>
      </c>
      <c r="J16" s="155">
        <f>45*5</f>
        <v>225</v>
      </c>
      <c r="K16" s="155">
        <f>28*5</f>
        <v>140</v>
      </c>
      <c r="L16" s="155">
        <f>25*5</f>
        <v>125</v>
      </c>
    </row>
    <row r="17" spans="2:13" ht="15.75" thickBot="1" x14ac:dyDescent="0.3">
      <c r="B17" s="149" t="s">
        <v>326</v>
      </c>
      <c r="C17" s="149" t="s">
        <v>54</v>
      </c>
      <c r="D17" s="149">
        <v>100</v>
      </c>
      <c r="E17" s="149">
        <v>100</v>
      </c>
      <c r="F17" s="156">
        <v>10.8</v>
      </c>
      <c r="G17" s="156">
        <v>10.199999999999999</v>
      </c>
      <c r="H17" s="157">
        <v>9.3000000000000007</v>
      </c>
      <c r="I17" s="157">
        <v>9.5</v>
      </c>
      <c r="J17" s="156">
        <v>8.8000000000000007</v>
      </c>
      <c r="K17" s="156">
        <v>7.6</v>
      </c>
      <c r="L17" s="157">
        <v>5</v>
      </c>
      <c r="M17" s="172"/>
    </row>
    <row r="18" spans="2:13" ht="15.75" thickBot="1" x14ac:dyDescent="0.3">
      <c r="B18" s="149" t="s">
        <v>51</v>
      </c>
      <c r="C18" s="149" t="s">
        <v>54</v>
      </c>
      <c r="D18" s="149" t="s">
        <v>67</v>
      </c>
      <c r="E18" s="149" t="s">
        <v>68</v>
      </c>
      <c r="F18" s="158">
        <v>1.38</v>
      </c>
      <c r="G18" s="158">
        <v>1.7</v>
      </c>
      <c r="H18" s="158">
        <v>1.92</v>
      </c>
      <c r="I18" s="158">
        <v>1.69</v>
      </c>
      <c r="J18" s="158">
        <v>1.1100000000000001</v>
      </c>
      <c r="K18" s="158">
        <v>0.11</v>
      </c>
      <c r="L18" s="158">
        <v>0.1</v>
      </c>
    </row>
    <row r="19" spans="2:13" ht="15.75" thickBot="1" x14ac:dyDescent="0.3">
      <c r="B19" s="149" t="s">
        <v>47</v>
      </c>
      <c r="C19" s="149" t="s">
        <v>54</v>
      </c>
      <c r="D19" s="149">
        <v>500</v>
      </c>
      <c r="E19" s="149" t="s">
        <v>37</v>
      </c>
      <c r="F19" s="161">
        <f>((F29*0.0141*35450)/100)*3</f>
        <v>341.89398000000006</v>
      </c>
      <c r="G19" s="161">
        <f t="shared" ref="G19:L19" si="0">((G29*0.0141*35450)/100)*3</f>
        <v>352.39072500000003</v>
      </c>
      <c r="H19" s="161">
        <f t="shared" si="0"/>
        <v>278.91350999999997</v>
      </c>
      <c r="I19" s="161">
        <f t="shared" si="0"/>
        <v>200.93769</v>
      </c>
      <c r="J19" s="161">
        <f t="shared" si="0"/>
        <v>182.94326999999998</v>
      </c>
      <c r="K19" s="161">
        <f t="shared" si="0"/>
        <v>71.977679999999992</v>
      </c>
      <c r="L19" s="161">
        <f t="shared" si="0"/>
        <v>38.987909999999999</v>
      </c>
    </row>
    <row r="20" spans="2:13" ht="15.75" thickBot="1" x14ac:dyDescent="0.3">
      <c r="B20" s="149" t="s">
        <v>49</v>
      </c>
      <c r="C20" s="149" t="s">
        <v>54</v>
      </c>
      <c r="D20" s="149" t="s">
        <v>67</v>
      </c>
      <c r="E20" s="149" t="s">
        <v>67</v>
      </c>
      <c r="F20" s="158">
        <v>2.9</v>
      </c>
      <c r="G20" s="158">
        <v>1.1000000000000001</v>
      </c>
      <c r="H20" s="157">
        <v>0.2</v>
      </c>
      <c r="I20" s="158">
        <v>0.4</v>
      </c>
      <c r="J20" s="158">
        <v>1.2</v>
      </c>
      <c r="K20" s="158">
        <v>0.4</v>
      </c>
      <c r="L20" s="158">
        <v>0.8</v>
      </c>
    </row>
    <row r="21" spans="2:13" ht="24.75" customHeight="1" thickBot="1" x14ac:dyDescent="0.3">
      <c r="B21" s="149" t="s">
        <v>50</v>
      </c>
      <c r="C21" s="149" t="s">
        <v>54</v>
      </c>
      <c r="D21" s="149">
        <v>5</v>
      </c>
      <c r="E21" s="149" t="s">
        <v>37</v>
      </c>
      <c r="F21" s="170">
        <v>0.161</v>
      </c>
      <c r="G21" s="170">
        <v>0.23699999999999999</v>
      </c>
      <c r="H21" s="170">
        <v>0.628</v>
      </c>
      <c r="I21" s="170">
        <v>0.13800000000000001</v>
      </c>
      <c r="J21" s="170">
        <v>0.10100000000000001</v>
      </c>
      <c r="K21" s="170">
        <v>0.26</v>
      </c>
      <c r="L21" s="170">
        <v>0.48</v>
      </c>
    </row>
    <row r="22" spans="2:13" ht="33" customHeight="1" thickBot="1" x14ac:dyDescent="0.3">
      <c r="B22" s="149" t="s">
        <v>333</v>
      </c>
      <c r="C22" s="149" t="s">
        <v>54</v>
      </c>
      <c r="D22" s="149" t="s">
        <v>69</v>
      </c>
      <c r="E22" s="149">
        <v>1</v>
      </c>
      <c r="F22" s="169">
        <v>2.3E-2</v>
      </c>
      <c r="G22" s="169">
        <v>2.5000000000000001E-2</v>
      </c>
      <c r="H22" s="170">
        <v>2.5999999999999999E-2</v>
      </c>
      <c r="I22" s="169">
        <v>2.1000000000000001E-2</v>
      </c>
      <c r="J22" s="171">
        <v>3.9E-2</v>
      </c>
      <c r="K22" s="169">
        <v>2.5999999999999999E-2</v>
      </c>
      <c r="L22" s="169">
        <v>2.1000000000000001E-2</v>
      </c>
    </row>
    <row r="23" spans="2:13" ht="15.75" thickBot="1" x14ac:dyDescent="0.3">
      <c r="B23" s="149" t="s">
        <v>332</v>
      </c>
      <c r="C23" s="149" t="s">
        <v>54</v>
      </c>
      <c r="D23" s="149">
        <v>10</v>
      </c>
      <c r="E23" s="149">
        <v>10</v>
      </c>
      <c r="F23" s="158">
        <v>5</v>
      </c>
      <c r="G23" s="158">
        <v>8</v>
      </c>
      <c r="H23" s="158">
        <v>7</v>
      </c>
      <c r="I23" s="158">
        <v>10</v>
      </c>
      <c r="J23" s="159">
        <v>5</v>
      </c>
      <c r="K23" s="158">
        <v>8</v>
      </c>
      <c r="L23" s="158">
        <v>6</v>
      </c>
    </row>
    <row r="24" spans="2:13" ht="15.75" thickBot="1" x14ac:dyDescent="0.3">
      <c r="B24" s="149" t="s">
        <v>334</v>
      </c>
      <c r="C24" s="149" t="s">
        <v>54</v>
      </c>
      <c r="D24" s="149">
        <v>2</v>
      </c>
      <c r="E24" s="149">
        <v>24</v>
      </c>
      <c r="F24" s="167">
        <v>0.12</v>
      </c>
      <c r="G24" s="167">
        <v>0.11</v>
      </c>
      <c r="H24" s="167">
        <v>0.09</v>
      </c>
      <c r="I24" s="167">
        <v>0.1</v>
      </c>
      <c r="J24" s="168">
        <v>0.16</v>
      </c>
      <c r="K24" s="167">
        <v>0.12</v>
      </c>
      <c r="L24" s="167">
        <v>0.13</v>
      </c>
    </row>
    <row r="25" spans="2:13" ht="15.75" customHeight="1" thickBot="1" x14ac:dyDescent="0.3">
      <c r="B25" s="455" t="s">
        <v>293</v>
      </c>
      <c r="C25" s="456"/>
      <c r="D25" s="456"/>
      <c r="E25" s="456"/>
      <c r="F25" s="456"/>
      <c r="G25" s="456"/>
      <c r="H25" s="456"/>
      <c r="I25" s="456"/>
      <c r="J25" s="456"/>
      <c r="K25" s="456"/>
      <c r="L25" s="457"/>
    </row>
    <row r="26" spans="2:13" ht="24.75" thickBot="1" x14ac:dyDescent="0.3">
      <c r="B26" s="149" t="s">
        <v>57</v>
      </c>
      <c r="C26" s="149" t="s">
        <v>58</v>
      </c>
      <c r="D26" s="160" t="s">
        <v>37</v>
      </c>
      <c r="E26" s="160" t="s">
        <v>37</v>
      </c>
      <c r="F26" s="161">
        <v>150</v>
      </c>
      <c r="G26" s="161">
        <v>75</v>
      </c>
      <c r="H26" s="161">
        <v>75</v>
      </c>
      <c r="I26" s="161">
        <v>43</v>
      </c>
      <c r="J26" s="161">
        <v>43</v>
      </c>
      <c r="K26" s="161">
        <v>35</v>
      </c>
      <c r="L26" s="161">
        <v>15</v>
      </c>
    </row>
    <row r="27" spans="2:13" ht="26.25" customHeight="1" thickBot="1" x14ac:dyDescent="0.3">
      <c r="B27" s="149" t="s">
        <v>55</v>
      </c>
      <c r="C27" s="149" t="s">
        <v>58</v>
      </c>
      <c r="D27" s="155" t="s">
        <v>59</v>
      </c>
      <c r="E27" s="155" t="s">
        <v>59</v>
      </c>
      <c r="F27" s="161">
        <v>75</v>
      </c>
      <c r="G27" s="161">
        <v>43</v>
      </c>
      <c r="H27" s="161">
        <v>23</v>
      </c>
      <c r="I27" s="161">
        <v>23</v>
      </c>
      <c r="J27" s="161">
        <v>15</v>
      </c>
      <c r="K27" s="161">
        <v>14</v>
      </c>
      <c r="L27" s="161">
        <v>9.1</v>
      </c>
    </row>
    <row r="28" spans="2:13" ht="24" customHeight="1" thickBot="1" x14ac:dyDescent="0.3">
      <c r="B28" s="419" t="s">
        <v>322</v>
      </c>
      <c r="C28" s="419"/>
      <c r="D28" s="419"/>
      <c r="E28" s="419"/>
      <c r="F28" s="419"/>
    </row>
    <row r="29" spans="2:13" ht="13.9" customHeight="1" thickBot="1" x14ac:dyDescent="0.3">
      <c r="B29" s="80"/>
      <c r="C29" s="80"/>
      <c r="D29" s="80"/>
      <c r="E29" s="80" t="s">
        <v>335</v>
      </c>
      <c r="F29" s="80">
        <v>22.8</v>
      </c>
      <c r="G29">
        <v>23.5</v>
      </c>
      <c r="H29">
        <v>18.600000000000001</v>
      </c>
      <c r="I29" s="166">
        <v>13.4</v>
      </c>
      <c r="J29" s="166">
        <v>12.2</v>
      </c>
      <c r="K29" s="166">
        <v>4.8</v>
      </c>
      <c r="L29" s="166">
        <v>2.6</v>
      </c>
    </row>
    <row r="30" spans="2:13" ht="23.25" customHeight="1" thickBot="1" x14ac:dyDescent="0.3">
      <c r="B30" s="155" t="s">
        <v>89</v>
      </c>
      <c r="C30" s="155" t="s">
        <v>54</v>
      </c>
      <c r="D30" s="160"/>
      <c r="E30" s="160"/>
      <c r="F30" s="149">
        <v>1000</v>
      </c>
      <c r="G30" s="149">
        <v>1000</v>
      </c>
      <c r="H30" s="149">
        <v>1000</v>
      </c>
      <c r="I30" s="149">
        <v>1000</v>
      </c>
      <c r="J30" s="149">
        <v>1000</v>
      </c>
      <c r="K30" s="149">
        <v>1000</v>
      </c>
      <c r="L30" s="149">
        <v>1000</v>
      </c>
    </row>
    <row r="31" spans="2:13" ht="20.25" customHeight="1" thickBot="1" x14ac:dyDescent="0.3">
      <c r="B31" s="155" t="s">
        <v>89</v>
      </c>
      <c r="C31" s="155" t="s">
        <v>54</v>
      </c>
      <c r="D31" s="160"/>
      <c r="E31" s="160"/>
      <c r="F31" s="149">
        <v>100</v>
      </c>
      <c r="G31" s="149">
        <v>100</v>
      </c>
      <c r="H31" s="149">
        <v>100</v>
      </c>
      <c r="I31" s="149">
        <v>100</v>
      </c>
      <c r="J31" s="149">
        <v>100</v>
      </c>
      <c r="K31" s="149">
        <v>100</v>
      </c>
      <c r="L31" s="149">
        <v>100</v>
      </c>
    </row>
    <row r="32" spans="2:13" ht="24.75" thickBot="1" x14ac:dyDescent="0.3">
      <c r="B32" s="155" t="s">
        <v>125</v>
      </c>
      <c r="C32" s="155" t="s">
        <v>54</v>
      </c>
      <c r="D32" s="160"/>
      <c r="E32" s="160"/>
      <c r="F32" s="149">
        <v>0.2</v>
      </c>
      <c r="G32" s="149">
        <v>0.2</v>
      </c>
      <c r="H32" s="149">
        <v>0.2</v>
      </c>
      <c r="I32" s="149">
        <v>0.2</v>
      </c>
      <c r="J32" s="149">
        <v>0.2</v>
      </c>
      <c r="K32" s="149">
        <v>0.2</v>
      </c>
      <c r="L32" s="149">
        <v>0.2</v>
      </c>
    </row>
    <row r="33" spans="2:26" ht="24.75" thickBot="1" x14ac:dyDescent="0.3">
      <c r="B33" s="155" t="s">
        <v>126</v>
      </c>
      <c r="C33" s="155" t="s">
        <v>54</v>
      </c>
      <c r="D33" s="160"/>
      <c r="E33" s="160"/>
      <c r="F33" s="149">
        <v>0.5</v>
      </c>
      <c r="G33" s="149">
        <v>0.5</v>
      </c>
      <c r="H33" s="149">
        <v>0.5</v>
      </c>
      <c r="I33" s="149">
        <v>0.5</v>
      </c>
      <c r="J33" s="149">
        <v>0.5</v>
      </c>
      <c r="K33" s="149">
        <v>0.5</v>
      </c>
      <c r="L33" s="149">
        <v>0.5</v>
      </c>
    </row>
    <row r="34" spans="2:26" ht="24.75" thickBot="1" x14ac:dyDescent="0.3">
      <c r="B34" s="155" t="s">
        <v>125</v>
      </c>
      <c r="C34" s="155" t="s">
        <v>54</v>
      </c>
      <c r="D34" s="160"/>
      <c r="E34" s="160"/>
      <c r="F34" s="149">
        <v>500</v>
      </c>
      <c r="G34" s="149">
        <v>500</v>
      </c>
      <c r="H34" s="149">
        <v>500</v>
      </c>
      <c r="I34" s="149">
        <v>500</v>
      </c>
      <c r="J34" s="149">
        <v>500</v>
      </c>
      <c r="K34" s="149">
        <v>500</v>
      </c>
      <c r="L34" s="149">
        <v>500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30.75" thickBot="1" x14ac:dyDescent="0.3">
      <c r="B35" s="155" t="s">
        <v>336</v>
      </c>
      <c r="C35" s="155" t="s">
        <v>54</v>
      </c>
      <c r="D35" s="160"/>
      <c r="E35" s="160"/>
      <c r="F35" s="149">
        <v>0.2</v>
      </c>
      <c r="G35" s="149">
        <v>0.2</v>
      </c>
      <c r="H35" s="149">
        <v>0.2</v>
      </c>
      <c r="I35" s="149">
        <v>0.2</v>
      </c>
      <c r="J35" s="149">
        <v>0.2</v>
      </c>
      <c r="K35" s="149">
        <v>0.2</v>
      </c>
      <c r="L35" s="149">
        <v>0.2</v>
      </c>
      <c r="P35" s="91"/>
      <c r="Q35" s="91" t="s">
        <v>136</v>
      </c>
      <c r="R35" s="91"/>
      <c r="S35" s="91"/>
      <c r="T35" s="91" t="s">
        <v>137</v>
      </c>
      <c r="U35" s="91"/>
      <c r="V35" s="91"/>
      <c r="W35" s="91"/>
      <c r="X35" s="91"/>
      <c r="Y35" s="91"/>
      <c r="Z35" s="91"/>
    </row>
    <row r="36" spans="2:26" ht="30.75" thickBot="1" x14ac:dyDescent="0.3">
      <c r="B36" s="155" t="s">
        <v>336</v>
      </c>
      <c r="C36" s="155" t="s">
        <v>54</v>
      </c>
      <c r="D36" s="160"/>
      <c r="E36" s="160"/>
      <c r="F36" s="149">
        <v>10</v>
      </c>
      <c r="G36" s="149">
        <v>10</v>
      </c>
      <c r="H36" s="149">
        <v>10</v>
      </c>
      <c r="I36" s="149">
        <v>10</v>
      </c>
      <c r="J36" s="149">
        <v>10</v>
      </c>
      <c r="K36" s="149">
        <v>10</v>
      </c>
      <c r="L36" s="149">
        <v>10</v>
      </c>
      <c r="P36" s="91"/>
      <c r="Q36" s="91" t="s">
        <v>136</v>
      </c>
      <c r="R36" s="91"/>
      <c r="S36" s="91"/>
      <c r="T36" s="91" t="s">
        <v>137</v>
      </c>
      <c r="U36" s="91"/>
      <c r="V36" s="91"/>
      <c r="W36" s="91"/>
      <c r="X36" s="91"/>
      <c r="Y36" s="91"/>
      <c r="Z36" s="91"/>
    </row>
    <row r="37" spans="2:26" ht="24.75" thickBot="1" x14ac:dyDescent="0.3">
      <c r="B37" s="155" t="s">
        <v>125</v>
      </c>
      <c r="C37" s="155" t="s">
        <v>54</v>
      </c>
      <c r="D37" s="160"/>
      <c r="E37" s="160"/>
      <c r="F37" s="149">
        <v>5</v>
      </c>
      <c r="G37" s="149">
        <v>5</v>
      </c>
      <c r="H37" s="149">
        <v>5</v>
      </c>
      <c r="I37" s="149">
        <v>5</v>
      </c>
      <c r="J37" s="149">
        <v>5</v>
      </c>
      <c r="K37" s="149">
        <v>5</v>
      </c>
      <c r="L37" s="149">
        <v>5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24.75" thickBot="1" x14ac:dyDescent="0.3">
      <c r="B38" s="155" t="s">
        <v>125</v>
      </c>
      <c r="C38" s="155" t="s">
        <v>54</v>
      </c>
      <c r="D38" s="160"/>
      <c r="E38" s="160"/>
      <c r="F38" s="149">
        <v>0.1</v>
      </c>
      <c r="G38" s="149">
        <v>0.1</v>
      </c>
      <c r="H38" s="149">
        <v>0.1</v>
      </c>
      <c r="I38" s="149">
        <v>0.1</v>
      </c>
      <c r="J38" s="149">
        <v>0.1</v>
      </c>
      <c r="K38" s="149">
        <v>0.1</v>
      </c>
      <c r="L38" s="149">
        <v>0.1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24.75" thickBot="1" x14ac:dyDescent="0.3">
      <c r="B39" s="155" t="s">
        <v>125</v>
      </c>
      <c r="C39" s="155" t="s">
        <v>54</v>
      </c>
      <c r="D39" s="160"/>
      <c r="E39" s="160"/>
      <c r="F39" s="149">
        <v>2</v>
      </c>
      <c r="G39" s="149">
        <v>2</v>
      </c>
      <c r="H39" s="149">
        <v>2</v>
      </c>
      <c r="I39" s="149">
        <v>2</v>
      </c>
      <c r="J39" s="149">
        <v>2</v>
      </c>
      <c r="K39" s="149">
        <v>2</v>
      </c>
      <c r="L39" s="149">
        <v>2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</sheetData>
  <mergeCells count="9">
    <mergeCell ref="B14:L14"/>
    <mergeCell ref="B25:L25"/>
    <mergeCell ref="B28:F28"/>
    <mergeCell ref="B8:L8"/>
    <mergeCell ref="B4:L4"/>
    <mergeCell ref="B6:B7"/>
    <mergeCell ref="C6:C7"/>
    <mergeCell ref="D6:E6"/>
    <mergeCell ref="F6:L6"/>
  </mergeCells>
  <pageMargins left="0.7" right="0.7" top="0.75" bottom="0.75" header="0.3" footer="0.3"/>
  <pageSetup paperSize="9" scale="45" orientation="portrait" r:id="rId1"/>
  <colBreaks count="1" manualBreakCount="1">
    <brk id="13" max="41" man="1"/>
  </colBreaks>
  <drawing r:id="rId2"/>
  <legacyDrawing r:id="rId3"/>
  <oleObjects>
    <mc:AlternateContent xmlns:mc="http://schemas.openxmlformats.org/markup-compatibility/2006">
      <mc:Choice Requires="x14">
        <oleObject progId="Paint.Picture" shapeId="32769" r:id="rId4">
          <objectPr defaultSize="0" autoPict="0" r:id="rId5">
            <anchor moveWithCells="1">
              <from>
                <xdr:col>23</xdr:col>
                <xdr:colOff>276225</xdr:colOff>
                <xdr:row>40</xdr:row>
                <xdr:rowOff>19050</xdr:rowOff>
              </from>
              <to>
                <xdr:col>28</xdr:col>
                <xdr:colOff>114300</xdr:colOff>
                <xdr:row>56</xdr:row>
                <xdr:rowOff>57150</xdr:rowOff>
              </to>
            </anchor>
          </objectPr>
        </oleObject>
      </mc:Choice>
      <mc:Fallback>
        <oleObject progId="Paint.Picture" shapeId="32769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Z39"/>
  <sheetViews>
    <sheetView showGridLines="0" view="pageBreakPreview" topLeftCell="A10" zoomScale="90" zoomScaleNormal="145" zoomScaleSheetLayoutView="90" workbookViewId="0">
      <selection activeCell="B24" sqref="B24:E24"/>
    </sheetView>
  </sheetViews>
  <sheetFormatPr baseColWidth="10" defaultColWidth="11.42578125" defaultRowHeight="15" x14ac:dyDescent="0.25"/>
  <cols>
    <col min="1" max="1" width="2.140625" customWidth="1"/>
    <col min="2" max="2" width="19.140625" customWidth="1"/>
    <col min="3" max="3" width="10.28515625" customWidth="1"/>
    <col min="4" max="4" width="10.42578125" customWidth="1"/>
    <col min="5" max="5" width="11.28515625" customWidth="1"/>
    <col min="6" max="6" width="8.42578125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7.140625" customWidth="1"/>
    <col min="13" max="13" width="3.42578125" customWidth="1"/>
    <col min="14" max="14" width="9.28515625" customWidth="1"/>
    <col min="15" max="15" width="20.85546875" customWidth="1"/>
    <col min="17" max="17" width="12.85546875" customWidth="1"/>
    <col min="18" max="18" width="13.140625" customWidth="1"/>
    <col min="22" max="22" width="14.42578125" customWidth="1"/>
    <col min="26" max="26" width="14" customWidth="1"/>
  </cols>
  <sheetData>
    <row r="1" spans="2:12" ht="6" customHeight="1" x14ac:dyDescent="0.25"/>
    <row r="2" spans="2:12" ht="6" customHeight="1" x14ac:dyDescent="0.25"/>
    <row r="3" spans="2:12" ht="6.75" customHeight="1" x14ac:dyDescent="0.25"/>
    <row r="4" spans="2:12" ht="44.25" customHeight="1" x14ac:dyDescent="0.25">
      <c r="B4" s="458" t="s">
        <v>354</v>
      </c>
      <c r="C4" s="459"/>
      <c r="D4" s="459"/>
      <c r="E4" s="459"/>
      <c r="F4" s="459"/>
      <c r="G4" s="459"/>
      <c r="H4" s="459"/>
      <c r="I4" s="459"/>
      <c r="J4" s="459"/>
      <c r="K4" s="459"/>
      <c r="L4" s="459"/>
    </row>
    <row r="5" spans="2:12" ht="2.25" customHeight="1" thickBot="1" x14ac:dyDescent="0.3"/>
    <row r="6" spans="2:12" ht="21.6" customHeight="1" thickBot="1" x14ac:dyDescent="0.3">
      <c r="B6" s="460" t="s">
        <v>34</v>
      </c>
      <c r="C6" s="460" t="s">
        <v>296</v>
      </c>
      <c r="D6" s="462" t="s">
        <v>33</v>
      </c>
      <c r="E6" s="462"/>
      <c r="F6" s="463" t="s">
        <v>137</v>
      </c>
      <c r="G6" s="464"/>
      <c r="H6" s="464"/>
      <c r="I6" s="464"/>
      <c r="J6" s="464"/>
      <c r="K6" s="464"/>
      <c r="L6" s="465"/>
    </row>
    <row r="7" spans="2:12" ht="46.5" customHeight="1" thickBot="1" x14ac:dyDescent="0.3">
      <c r="B7" s="461"/>
      <c r="C7" s="461"/>
      <c r="D7" s="141" t="s">
        <v>298</v>
      </c>
      <c r="E7" s="142" t="s">
        <v>297</v>
      </c>
      <c r="F7" s="143" t="s">
        <v>27</v>
      </c>
      <c r="G7" s="143" t="s">
        <v>28</v>
      </c>
      <c r="H7" s="143" t="s">
        <v>29</v>
      </c>
      <c r="I7" s="143" t="s">
        <v>30</v>
      </c>
      <c r="J7" s="143" t="s">
        <v>31</v>
      </c>
      <c r="K7" s="143" t="s">
        <v>25</v>
      </c>
      <c r="L7" s="143" t="s">
        <v>32</v>
      </c>
    </row>
    <row r="8" spans="2:12" ht="15.75" customHeight="1" thickBot="1" x14ac:dyDescent="0.3">
      <c r="B8" s="455" t="s">
        <v>295</v>
      </c>
      <c r="C8" s="456"/>
      <c r="D8" s="456"/>
      <c r="E8" s="456"/>
      <c r="F8" s="456"/>
      <c r="G8" s="456"/>
      <c r="H8" s="456"/>
      <c r="I8" s="456"/>
      <c r="J8" s="456"/>
      <c r="K8" s="456"/>
      <c r="L8" s="457"/>
    </row>
    <row r="9" spans="2:12" ht="21.75" customHeight="1" thickBot="1" x14ac:dyDescent="0.3">
      <c r="B9" s="144" t="s">
        <v>41</v>
      </c>
      <c r="C9" s="144" t="s">
        <v>64</v>
      </c>
      <c r="D9" s="144" t="s">
        <v>62</v>
      </c>
      <c r="E9" s="144" t="s">
        <v>63</v>
      </c>
      <c r="F9" s="145">
        <f>3.5*1000</f>
        <v>3500</v>
      </c>
      <c r="G9" s="146">
        <f>2.07*1000</f>
        <v>2070</v>
      </c>
      <c r="H9" s="145">
        <f>2.77*1000</f>
        <v>2770</v>
      </c>
      <c r="I9" s="145">
        <f>2.73*1000</f>
        <v>2730</v>
      </c>
      <c r="J9" s="147">
        <f>2.26*1000</f>
        <v>2260</v>
      </c>
      <c r="K9" s="146">
        <v>294</v>
      </c>
      <c r="L9" s="148">
        <v>394</v>
      </c>
    </row>
    <row r="10" spans="2:12" ht="15.75" thickBot="1" x14ac:dyDescent="0.3">
      <c r="B10" s="149" t="s">
        <v>23</v>
      </c>
      <c r="C10" s="150" t="s">
        <v>37</v>
      </c>
      <c r="D10" s="150" t="s">
        <v>65</v>
      </c>
      <c r="E10" s="149" t="s">
        <v>66</v>
      </c>
      <c r="F10" s="226">
        <v>7.95</v>
      </c>
      <c r="G10" s="226">
        <v>7.67</v>
      </c>
      <c r="H10" s="226">
        <v>7.75</v>
      </c>
      <c r="I10" s="226">
        <v>7.89</v>
      </c>
      <c r="J10" s="226">
        <v>8.0399999999999991</v>
      </c>
      <c r="K10" s="226">
        <v>7.51</v>
      </c>
      <c r="L10" s="227">
        <v>7.47</v>
      </c>
    </row>
    <row r="11" spans="2:12" ht="23.25" customHeight="1" thickBot="1" x14ac:dyDescent="0.3">
      <c r="B11" s="149" t="s">
        <v>38</v>
      </c>
      <c r="C11" s="149" t="s">
        <v>24</v>
      </c>
      <c r="D11" s="150" t="s">
        <v>37</v>
      </c>
      <c r="E11" s="150" t="s">
        <v>37</v>
      </c>
      <c r="F11" s="153">
        <v>1563</v>
      </c>
      <c r="G11" s="153">
        <v>942</v>
      </c>
      <c r="H11" s="153">
        <v>1310</v>
      </c>
      <c r="I11" s="153">
        <v>1292</v>
      </c>
      <c r="J11" s="153">
        <v>1077</v>
      </c>
      <c r="K11" s="153">
        <v>146</v>
      </c>
      <c r="L11" s="154">
        <v>199</v>
      </c>
    </row>
    <row r="12" spans="2:12" ht="15.75" thickBot="1" x14ac:dyDescent="0.3">
      <c r="B12" s="149" t="s">
        <v>39</v>
      </c>
      <c r="C12" s="149" t="s">
        <v>40</v>
      </c>
      <c r="D12" s="150" t="s">
        <v>37</v>
      </c>
      <c r="E12" s="150" t="s">
        <v>37</v>
      </c>
      <c r="F12" s="151">
        <v>29.2</v>
      </c>
      <c r="G12" s="151">
        <v>28.4</v>
      </c>
      <c r="H12" s="151">
        <v>28.9</v>
      </c>
      <c r="I12" s="151">
        <v>28.9</v>
      </c>
      <c r="J12" s="151">
        <v>28</v>
      </c>
      <c r="K12" s="151">
        <v>22.9</v>
      </c>
      <c r="L12" s="152">
        <v>22.5</v>
      </c>
    </row>
    <row r="13" spans="2:12" ht="15.75" thickBot="1" x14ac:dyDescent="0.3">
      <c r="B13" s="149" t="s">
        <v>327</v>
      </c>
      <c r="C13" s="149" t="s">
        <v>53</v>
      </c>
      <c r="D13" s="150" t="s">
        <v>37</v>
      </c>
      <c r="E13" s="150" t="s">
        <v>37</v>
      </c>
      <c r="F13" s="155">
        <v>16.899999999999999</v>
      </c>
      <c r="G13" s="155">
        <v>20.100000000000001</v>
      </c>
      <c r="H13" s="155">
        <v>56.1</v>
      </c>
      <c r="I13" s="155">
        <v>27.4</v>
      </c>
      <c r="J13" s="155">
        <v>38.1</v>
      </c>
      <c r="K13" s="155">
        <v>251</v>
      </c>
      <c r="L13" s="155">
        <v>261</v>
      </c>
    </row>
    <row r="14" spans="2:12" ht="15.75" customHeight="1" thickBot="1" x14ac:dyDescent="0.3">
      <c r="B14" s="455" t="s">
        <v>294</v>
      </c>
      <c r="C14" s="456"/>
      <c r="D14" s="456"/>
      <c r="E14" s="456"/>
      <c r="F14" s="456"/>
      <c r="G14" s="456"/>
      <c r="H14" s="456"/>
      <c r="I14" s="456"/>
      <c r="J14" s="456"/>
      <c r="K14" s="456"/>
      <c r="L14" s="457"/>
    </row>
    <row r="15" spans="2:12" ht="7.5" customHeight="1" thickBot="1" x14ac:dyDescent="0.3"/>
    <row r="16" spans="2:12" ht="18" customHeight="1" thickBot="1" x14ac:dyDescent="0.3">
      <c r="B16" s="149" t="s">
        <v>46</v>
      </c>
      <c r="C16" s="149" t="s">
        <v>54</v>
      </c>
      <c r="D16" s="149" t="s">
        <v>59</v>
      </c>
      <c r="E16" s="149" t="s">
        <v>59</v>
      </c>
      <c r="F16" s="155">
        <f>40*5</f>
        <v>200</v>
      </c>
      <c r="G16" s="155">
        <f>44*5</f>
        <v>220</v>
      </c>
      <c r="H16" s="155">
        <f>40*5</f>
        <v>200</v>
      </c>
      <c r="I16" s="155">
        <f>38*5</f>
        <v>190</v>
      </c>
      <c r="J16" s="155">
        <f>33*5</f>
        <v>165</v>
      </c>
      <c r="K16" s="155">
        <f>25*5</f>
        <v>125</v>
      </c>
      <c r="L16" s="155">
        <f>26*5</f>
        <v>130</v>
      </c>
    </row>
    <row r="17" spans="2:13" ht="15.75" thickBot="1" x14ac:dyDescent="0.3">
      <c r="B17" s="149" t="s">
        <v>326</v>
      </c>
      <c r="C17" s="149" t="s">
        <v>54</v>
      </c>
      <c r="D17" s="149">
        <v>100</v>
      </c>
      <c r="E17" s="149">
        <v>100</v>
      </c>
      <c r="F17" s="156">
        <v>9.1999999999999993</v>
      </c>
      <c r="G17" s="156">
        <v>9.5</v>
      </c>
      <c r="H17" s="157">
        <v>9.3000000000000007</v>
      </c>
      <c r="I17" s="157">
        <v>8.3000000000000007</v>
      </c>
      <c r="J17" s="156">
        <v>8.8000000000000007</v>
      </c>
      <c r="K17" s="156">
        <v>1.3</v>
      </c>
      <c r="L17" s="157">
        <v>0.9</v>
      </c>
      <c r="M17" s="172"/>
    </row>
    <row r="18" spans="2:13" ht="15.75" thickBot="1" x14ac:dyDescent="0.3">
      <c r="B18" s="149" t="s">
        <v>51</v>
      </c>
      <c r="C18" s="149" t="s">
        <v>54</v>
      </c>
      <c r="D18" s="149" t="s">
        <v>67</v>
      </c>
      <c r="E18" s="149" t="s">
        <v>68</v>
      </c>
      <c r="F18" s="158">
        <v>2.1800000000000002</v>
      </c>
      <c r="G18" s="158">
        <v>2.17</v>
      </c>
      <c r="H18" s="158">
        <v>2.4</v>
      </c>
      <c r="I18" s="158">
        <v>2.35</v>
      </c>
      <c r="J18" s="158">
        <v>0.34</v>
      </c>
      <c r="K18" s="158">
        <v>0.2</v>
      </c>
      <c r="L18" s="158">
        <v>0.12</v>
      </c>
    </row>
    <row r="19" spans="2:13" ht="15.75" thickBot="1" x14ac:dyDescent="0.3">
      <c r="B19" s="149" t="s">
        <v>47</v>
      </c>
      <c r="C19" s="149" t="s">
        <v>54</v>
      </c>
      <c r="D19" s="149">
        <v>500</v>
      </c>
      <c r="E19" s="149" t="s">
        <v>37</v>
      </c>
      <c r="F19" s="161">
        <f>((F29*0.0141*35450)/100)*3</f>
        <v>191.94047999999998</v>
      </c>
      <c r="G19" s="161">
        <f t="shared" ref="G19:L19" si="0">((G29*0.0141*35450)/100)*3</f>
        <v>229.428855</v>
      </c>
      <c r="H19" s="161">
        <f t="shared" si="0"/>
        <v>278.91350999999997</v>
      </c>
      <c r="I19" s="161">
        <f t="shared" si="0"/>
        <v>185.94234</v>
      </c>
      <c r="J19" s="161">
        <f t="shared" si="0"/>
        <v>182.94326999999998</v>
      </c>
      <c r="K19" s="161">
        <f t="shared" si="0"/>
        <v>50.984189999999998</v>
      </c>
      <c r="L19" s="161">
        <f t="shared" si="0"/>
        <v>41.986979999999988</v>
      </c>
    </row>
    <row r="20" spans="2:13" ht="15.75" thickBot="1" x14ac:dyDescent="0.3">
      <c r="B20" s="149" t="s">
        <v>49</v>
      </c>
      <c r="C20" s="149" t="s">
        <v>54</v>
      </c>
      <c r="D20" s="149" t="s">
        <v>67</v>
      </c>
      <c r="E20" s="149" t="s">
        <v>67</v>
      </c>
      <c r="F20" s="158">
        <v>3.7</v>
      </c>
      <c r="G20" s="158">
        <v>1.8</v>
      </c>
      <c r="H20" s="157">
        <v>1.2</v>
      </c>
      <c r="I20" s="158">
        <v>1</v>
      </c>
      <c r="J20" s="158">
        <v>0.7</v>
      </c>
      <c r="K20" s="158">
        <v>0.4</v>
      </c>
      <c r="L20" s="158">
        <v>0.5</v>
      </c>
    </row>
    <row r="21" spans="2:13" ht="24.75" customHeight="1" thickBot="1" x14ac:dyDescent="0.3">
      <c r="B21" s="149" t="s">
        <v>50</v>
      </c>
      <c r="C21" s="149" t="s">
        <v>54</v>
      </c>
      <c r="D21" s="149">
        <v>5</v>
      </c>
      <c r="E21" s="149" t="s">
        <v>37</v>
      </c>
      <c r="F21" s="170">
        <v>7.9000000000000001E-2</v>
      </c>
      <c r="G21" s="170">
        <v>7.1999999999999995E-2</v>
      </c>
      <c r="H21" s="170">
        <v>6.8000000000000005E-2</v>
      </c>
      <c r="I21" s="170">
        <v>9.4E-2</v>
      </c>
      <c r="J21" s="170">
        <v>2.5999999999999999E-2</v>
      </c>
      <c r="K21" s="170">
        <v>5.8000000000000003E-2</v>
      </c>
      <c r="L21" s="170">
        <v>0.48</v>
      </c>
    </row>
    <row r="22" spans="2:13" ht="33" customHeight="1" thickBot="1" x14ac:dyDescent="0.3">
      <c r="B22" s="149" t="s">
        <v>333</v>
      </c>
      <c r="C22" s="149" t="s">
        <v>54</v>
      </c>
      <c r="D22" s="149" t="s">
        <v>69</v>
      </c>
      <c r="E22" s="149">
        <v>1</v>
      </c>
      <c r="F22" s="169">
        <v>2.4E-2</v>
      </c>
      <c r="G22" s="169">
        <v>6.5000000000000002E-2</v>
      </c>
      <c r="H22" s="170">
        <v>7.1999999999999995E-2</v>
      </c>
      <c r="I22" s="169">
        <v>3.5000000000000003E-2</v>
      </c>
      <c r="J22" s="171">
        <v>6.5000000000000002E-2</v>
      </c>
      <c r="K22" s="169">
        <v>7.9000000000000001E-2</v>
      </c>
      <c r="L22" s="169">
        <v>0.01</v>
      </c>
    </row>
    <row r="23" spans="2:13" ht="15.75" thickBot="1" x14ac:dyDescent="0.3">
      <c r="B23" s="149" t="s">
        <v>332</v>
      </c>
      <c r="C23" s="149" t="s">
        <v>54</v>
      </c>
      <c r="D23" s="149">
        <v>10</v>
      </c>
      <c r="E23" s="149">
        <v>10</v>
      </c>
      <c r="F23" s="229">
        <v>12</v>
      </c>
      <c r="G23" s="229">
        <v>16</v>
      </c>
      <c r="H23" s="229">
        <v>18</v>
      </c>
      <c r="I23" s="229">
        <v>10</v>
      </c>
      <c r="J23" s="230">
        <v>12</v>
      </c>
      <c r="K23" s="229">
        <v>17</v>
      </c>
      <c r="L23" s="229">
        <v>9</v>
      </c>
    </row>
    <row r="24" spans="2:13" ht="15.75" thickBot="1" x14ac:dyDescent="0.3">
      <c r="B24" s="149" t="s">
        <v>334</v>
      </c>
      <c r="C24" s="149" t="s">
        <v>54</v>
      </c>
      <c r="D24" s="149">
        <v>2</v>
      </c>
      <c r="E24" s="149">
        <v>24</v>
      </c>
      <c r="F24" s="167">
        <v>0.26</v>
      </c>
      <c r="G24" s="167">
        <v>0.13</v>
      </c>
      <c r="H24" s="167">
        <v>0.09</v>
      </c>
      <c r="I24" s="167">
        <v>0.1</v>
      </c>
      <c r="J24" s="168">
        <v>0.23</v>
      </c>
      <c r="K24" s="167">
        <v>0.19</v>
      </c>
      <c r="L24" s="167">
        <v>0.13</v>
      </c>
    </row>
    <row r="25" spans="2:13" ht="15.75" customHeight="1" thickBot="1" x14ac:dyDescent="0.3">
      <c r="B25" s="455" t="s">
        <v>293</v>
      </c>
      <c r="C25" s="456"/>
      <c r="D25" s="456"/>
      <c r="E25" s="456"/>
      <c r="F25" s="456"/>
      <c r="G25" s="456"/>
      <c r="H25" s="456"/>
      <c r="I25" s="456"/>
      <c r="J25" s="456"/>
      <c r="K25" s="456"/>
      <c r="L25" s="457"/>
    </row>
    <row r="26" spans="2:13" ht="24.75" thickBot="1" x14ac:dyDescent="0.3">
      <c r="B26" s="149" t="s">
        <v>57</v>
      </c>
      <c r="C26" s="149" t="s">
        <v>58</v>
      </c>
      <c r="D26" s="160" t="s">
        <v>37</v>
      </c>
      <c r="E26" s="160" t="s">
        <v>37</v>
      </c>
      <c r="F26" s="161">
        <v>150</v>
      </c>
      <c r="G26" s="161">
        <v>75</v>
      </c>
      <c r="H26" s="161">
        <v>75</v>
      </c>
      <c r="I26" s="161">
        <v>43</v>
      </c>
      <c r="J26" s="161">
        <v>43</v>
      </c>
      <c r="K26" s="161">
        <v>35</v>
      </c>
      <c r="L26" s="161">
        <v>15</v>
      </c>
    </row>
    <row r="27" spans="2:13" ht="26.25" customHeight="1" thickBot="1" x14ac:dyDescent="0.3">
      <c r="B27" s="149" t="s">
        <v>55</v>
      </c>
      <c r="C27" s="149" t="s">
        <v>58</v>
      </c>
      <c r="D27" s="155" t="s">
        <v>59</v>
      </c>
      <c r="E27" s="155" t="s">
        <v>59</v>
      </c>
      <c r="F27" s="161">
        <v>150</v>
      </c>
      <c r="G27" s="161">
        <v>23</v>
      </c>
      <c r="H27" s="161">
        <v>23</v>
      </c>
      <c r="I27" s="161">
        <v>23</v>
      </c>
      <c r="J27" s="161">
        <v>15</v>
      </c>
      <c r="K27" s="161">
        <v>14</v>
      </c>
      <c r="L27" s="161">
        <v>9.1</v>
      </c>
    </row>
    <row r="28" spans="2:13" ht="24" customHeight="1" thickBot="1" x14ac:dyDescent="0.3">
      <c r="B28" s="419" t="s">
        <v>322</v>
      </c>
      <c r="C28" s="419"/>
      <c r="D28" s="419"/>
      <c r="E28" s="419"/>
      <c r="F28" s="419"/>
    </row>
    <row r="29" spans="2:13" ht="21.75" customHeight="1" thickBot="1" x14ac:dyDescent="0.3">
      <c r="B29" s="80"/>
      <c r="C29" s="80"/>
      <c r="D29" s="80"/>
      <c r="E29" s="228" t="s">
        <v>335</v>
      </c>
      <c r="F29" s="80">
        <v>12.8</v>
      </c>
      <c r="G29" s="80">
        <v>15.3</v>
      </c>
      <c r="H29" s="80">
        <v>18.600000000000001</v>
      </c>
      <c r="I29" s="80">
        <v>12.4</v>
      </c>
      <c r="J29" s="80">
        <v>12.2</v>
      </c>
      <c r="K29" s="80">
        <v>3.4</v>
      </c>
      <c r="L29" s="80">
        <v>2.8</v>
      </c>
    </row>
    <row r="30" spans="2:13" ht="23.25" customHeight="1" thickBot="1" x14ac:dyDescent="0.3">
      <c r="B30" s="155" t="s">
        <v>89</v>
      </c>
      <c r="C30" s="155" t="s">
        <v>54</v>
      </c>
      <c r="D30" s="160"/>
      <c r="E30" s="160"/>
      <c r="F30" s="149">
        <v>1000</v>
      </c>
      <c r="G30" s="149">
        <v>1000</v>
      </c>
      <c r="H30" s="149">
        <v>1000</v>
      </c>
      <c r="I30" s="149">
        <v>1000</v>
      </c>
      <c r="J30" s="149">
        <v>1000</v>
      </c>
      <c r="K30" s="149">
        <v>1000</v>
      </c>
      <c r="L30" s="149">
        <v>1000</v>
      </c>
    </row>
    <row r="31" spans="2:13" ht="20.25" customHeight="1" thickBot="1" x14ac:dyDescent="0.3">
      <c r="B31" s="155" t="s">
        <v>89</v>
      </c>
      <c r="C31" s="155" t="s">
        <v>54</v>
      </c>
      <c r="D31" s="160"/>
      <c r="E31" s="160"/>
      <c r="F31" s="149">
        <v>100</v>
      </c>
      <c r="G31" s="149">
        <v>100</v>
      </c>
      <c r="H31" s="149">
        <v>100</v>
      </c>
      <c r="I31" s="149">
        <v>100</v>
      </c>
      <c r="J31" s="149">
        <v>100</v>
      </c>
      <c r="K31" s="149">
        <v>100</v>
      </c>
      <c r="L31" s="149">
        <v>100</v>
      </c>
    </row>
    <row r="32" spans="2:13" ht="24.75" thickBot="1" x14ac:dyDescent="0.3">
      <c r="B32" s="155" t="s">
        <v>125</v>
      </c>
      <c r="C32" s="155" t="s">
        <v>54</v>
      </c>
      <c r="D32" s="160"/>
      <c r="E32" s="160"/>
      <c r="F32" s="149">
        <v>0.2</v>
      </c>
      <c r="G32" s="149">
        <v>0.2</v>
      </c>
      <c r="H32" s="149">
        <v>0.2</v>
      </c>
      <c r="I32" s="149">
        <v>0.2</v>
      </c>
      <c r="J32" s="149">
        <v>0.2</v>
      </c>
      <c r="K32" s="149">
        <v>0.2</v>
      </c>
      <c r="L32" s="149">
        <v>0.2</v>
      </c>
    </row>
    <row r="33" spans="2:26" ht="24.75" thickBot="1" x14ac:dyDescent="0.3">
      <c r="B33" s="155" t="s">
        <v>126</v>
      </c>
      <c r="C33" s="155" t="s">
        <v>54</v>
      </c>
      <c r="D33" s="160"/>
      <c r="E33" s="160"/>
      <c r="F33" s="149">
        <v>0.5</v>
      </c>
      <c r="G33" s="149">
        <v>0.5</v>
      </c>
      <c r="H33" s="149">
        <v>0.5</v>
      </c>
      <c r="I33" s="149">
        <v>0.5</v>
      </c>
      <c r="J33" s="149">
        <v>0.5</v>
      </c>
      <c r="K33" s="149">
        <v>0.5</v>
      </c>
      <c r="L33" s="149">
        <v>0.5</v>
      </c>
    </row>
    <row r="34" spans="2:26" ht="24.75" thickBot="1" x14ac:dyDescent="0.3">
      <c r="B34" s="155" t="s">
        <v>125</v>
      </c>
      <c r="C34" s="155" t="s">
        <v>54</v>
      </c>
      <c r="D34" s="160"/>
      <c r="E34" s="160"/>
      <c r="F34" s="149">
        <v>500</v>
      </c>
      <c r="G34" s="149">
        <v>500</v>
      </c>
      <c r="H34" s="149">
        <v>500</v>
      </c>
      <c r="I34" s="149">
        <v>500</v>
      </c>
      <c r="J34" s="149">
        <v>500</v>
      </c>
      <c r="K34" s="149">
        <v>500</v>
      </c>
      <c r="L34" s="149">
        <v>500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30.75" thickBot="1" x14ac:dyDescent="0.3">
      <c r="B35" s="155" t="s">
        <v>336</v>
      </c>
      <c r="C35" s="155" t="s">
        <v>54</v>
      </c>
      <c r="D35" s="160"/>
      <c r="E35" s="160"/>
      <c r="F35" s="149">
        <v>0.2</v>
      </c>
      <c r="G35" s="149">
        <v>0.2</v>
      </c>
      <c r="H35" s="149">
        <v>0.2</v>
      </c>
      <c r="I35" s="149">
        <v>0.2</v>
      </c>
      <c r="J35" s="149">
        <v>0.2</v>
      </c>
      <c r="K35" s="149">
        <v>0.2</v>
      </c>
      <c r="L35" s="149">
        <v>0.2</v>
      </c>
      <c r="P35" s="91"/>
      <c r="Q35" s="91" t="s">
        <v>136</v>
      </c>
      <c r="R35" s="91"/>
      <c r="S35" s="91"/>
      <c r="T35" s="91" t="s">
        <v>137</v>
      </c>
      <c r="U35" s="91"/>
      <c r="V35" s="91"/>
      <c r="W35" s="91"/>
      <c r="X35" s="91"/>
      <c r="Y35" s="91"/>
      <c r="Z35" s="91"/>
    </row>
    <row r="36" spans="2:26" ht="30.75" thickBot="1" x14ac:dyDescent="0.3">
      <c r="B36" s="155" t="s">
        <v>336</v>
      </c>
      <c r="C36" s="155" t="s">
        <v>54</v>
      </c>
      <c r="D36" s="160"/>
      <c r="E36" s="160"/>
      <c r="F36" s="149">
        <v>10</v>
      </c>
      <c r="G36" s="149">
        <v>10</v>
      </c>
      <c r="H36" s="149">
        <v>10</v>
      </c>
      <c r="I36" s="149">
        <v>10</v>
      </c>
      <c r="J36" s="149">
        <v>10</v>
      </c>
      <c r="K36" s="149">
        <v>10</v>
      </c>
      <c r="L36" s="149">
        <v>10</v>
      </c>
      <c r="P36" s="91"/>
      <c r="Q36" s="91" t="s">
        <v>136</v>
      </c>
      <c r="R36" s="91"/>
      <c r="S36" s="91"/>
      <c r="T36" s="91" t="s">
        <v>137</v>
      </c>
      <c r="U36" s="91"/>
      <c r="V36" s="91"/>
      <c r="W36" s="91"/>
      <c r="X36" s="91"/>
      <c r="Y36" s="91"/>
      <c r="Z36" s="91"/>
    </row>
    <row r="37" spans="2:26" ht="24.75" thickBot="1" x14ac:dyDescent="0.3">
      <c r="B37" s="155" t="s">
        <v>125</v>
      </c>
      <c r="C37" s="155" t="s">
        <v>54</v>
      </c>
      <c r="D37" s="160"/>
      <c r="E37" s="160"/>
      <c r="F37" s="149">
        <v>5</v>
      </c>
      <c r="G37" s="149">
        <v>5</v>
      </c>
      <c r="H37" s="149">
        <v>5</v>
      </c>
      <c r="I37" s="149">
        <v>5</v>
      </c>
      <c r="J37" s="149">
        <v>5</v>
      </c>
      <c r="K37" s="149">
        <v>5</v>
      </c>
      <c r="L37" s="149">
        <v>5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24.75" thickBot="1" x14ac:dyDescent="0.3">
      <c r="B38" s="155" t="s">
        <v>125</v>
      </c>
      <c r="C38" s="155" t="s">
        <v>54</v>
      </c>
      <c r="D38" s="160"/>
      <c r="E38" s="160"/>
      <c r="F38" s="149">
        <v>0.1</v>
      </c>
      <c r="G38" s="149">
        <v>0.1</v>
      </c>
      <c r="H38" s="149">
        <v>0.1</v>
      </c>
      <c r="I38" s="149">
        <v>0.1</v>
      </c>
      <c r="J38" s="149">
        <v>0.1</v>
      </c>
      <c r="K38" s="149">
        <v>0.1</v>
      </c>
      <c r="L38" s="149">
        <v>0.1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24.75" thickBot="1" x14ac:dyDescent="0.3">
      <c r="B39" s="155" t="s">
        <v>125</v>
      </c>
      <c r="C39" s="155" t="s">
        <v>54</v>
      </c>
      <c r="D39" s="160"/>
      <c r="E39" s="160"/>
      <c r="F39" s="149">
        <v>2</v>
      </c>
      <c r="G39" s="149">
        <v>2</v>
      </c>
      <c r="H39" s="149">
        <v>2</v>
      </c>
      <c r="I39" s="149">
        <v>2</v>
      </c>
      <c r="J39" s="149">
        <v>2</v>
      </c>
      <c r="K39" s="149">
        <v>2</v>
      </c>
      <c r="L39" s="149">
        <v>2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</sheetData>
  <mergeCells count="9">
    <mergeCell ref="B14:L14"/>
    <mergeCell ref="B25:L25"/>
    <mergeCell ref="B28:F28"/>
    <mergeCell ref="B4:L4"/>
    <mergeCell ref="B6:B7"/>
    <mergeCell ref="C6:C7"/>
    <mergeCell ref="D6:E6"/>
    <mergeCell ref="F6:L6"/>
    <mergeCell ref="B8:L8"/>
  </mergeCells>
  <pageMargins left="0.7" right="0.7" top="0.75" bottom="0.75" header="0.3" footer="0.3"/>
  <pageSetup paperSize="9" scale="45" orientation="portrait" r:id="rId1"/>
  <colBreaks count="1" manualBreakCount="1">
    <brk id="13" max="41" man="1"/>
  </colBreaks>
  <ignoredErrors>
    <ignoredError sqref="G1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2:AJ52"/>
  <sheetViews>
    <sheetView showGridLines="0" topLeftCell="C19" workbookViewId="0">
      <selection activeCell="J32" sqref="J32"/>
    </sheetView>
  </sheetViews>
  <sheetFormatPr baseColWidth="10" defaultRowHeight="15" x14ac:dyDescent="0.25"/>
  <cols>
    <col min="4" max="4" width="27.5703125" bestFit="1" customWidth="1"/>
    <col min="12" max="12" width="12" bestFit="1" customWidth="1"/>
    <col min="13" max="13" width="15.28515625" customWidth="1"/>
    <col min="14" max="14" width="13.7109375" customWidth="1"/>
    <col min="15" max="15" width="15.7109375" customWidth="1"/>
    <col min="16" max="22" width="8.7109375" customWidth="1"/>
    <col min="30" max="30" width="6.28515625" customWidth="1"/>
    <col min="31" max="31" width="7.5703125" customWidth="1"/>
    <col min="32" max="32" width="7.28515625" customWidth="1"/>
    <col min="33" max="33" width="7" customWidth="1"/>
    <col min="34" max="34" width="6.85546875" customWidth="1"/>
    <col min="35" max="35" width="7.140625" customWidth="1"/>
    <col min="36" max="36" width="6.5703125" customWidth="1"/>
  </cols>
  <sheetData>
    <row r="2" spans="4:19" x14ac:dyDescent="0.25">
      <c r="E2" s="469" t="s">
        <v>92</v>
      </c>
      <c r="F2" s="469"/>
      <c r="G2" s="469"/>
      <c r="H2" s="469"/>
      <c r="I2" s="469"/>
      <c r="J2" s="469"/>
      <c r="K2" s="469"/>
      <c r="M2" s="470" t="s">
        <v>97</v>
      </c>
      <c r="N2" s="470"/>
      <c r="O2" s="470"/>
      <c r="P2" s="470"/>
      <c r="Q2" s="470"/>
      <c r="R2" s="470"/>
      <c r="S2" s="470"/>
    </row>
    <row r="3" spans="4:19" x14ac:dyDescent="0.25">
      <c r="E3" s="32" t="s">
        <v>73</v>
      </c>
      <c r="F3" s="32" t="s">
        <v>74</v>
      </c>
      <c r="G3" s="32" t="s">
        <v>75</v>
      </c>
      <c r="H3" s="32" t="s">
        <v>76</v>
      </c>
      <c r="I3" s="32" t="s">
        <v>77</v>
      </c>
      <c r="J3" s="32" t="s">
        <v>78</v>
      </c>
      <c r="K3" s="32" t="s">
        <v>79</v>
      </c>
      <c r="M3" s="164" t="s">
        <v>27</v>
      </c>
      <c r="N3" s="164" t="s">
        <v>28</v>
      </c>
      <c r="O3" s="164" t="s">
        <v>29</v>
      </c>
      <c r="P3" s="164" t="s">
        <v>30</v>
      </c>
      <c r="Q3" s="164" t="s">
        <v>31</v>
      </c>
      <c r="R3" s="164" t="s">
        <v>25</v>
      </c>
      <c r="S3" s="164" t="s">
        <v>32</v>
      </c>
    </row>
    <row r="4" spans="4:19" ht="3.6" customHeight="1" x14ac:dyDescent="0.25"/>
    <row r="5" spans="4:19" x14ac:dyDescent="0.25">
      <c r="D5" t="s">
        <v>95</v>
      </c>
      <c r="E5" s="32" t="s">
        <v>100</v>
      </c>
      <c r="F5" s="32" t="s">
        <v>101</v>
      </c>
      <c r="G5" s="32" t="s">
        <v>102</v>
      </c>
      <c r="H5" s="32" t="s">
        <v>103</v>
      </c>
      <c r="I5" s="32" t="s">
        <v>102</v>
      </c>
      <c r="J5" s="32" t="s">
        <v>104</v>
      </c>
      <c r="K5" s="32" t="s">
        <v>105</v>
      </c>
    </row>
    <row r="6" spans="4:19" x14ac:dyDescent="0.25">
      <c r="D6" t="s">
        <v>96</v>
      </c>
      <c r="E6" s="163" t="s">
        <v>107</v>
      </c>
      <c r="F6" s="163">
        <v>1.01</v>
      </c>
      <c r="G6" s="163" t="s">
        <v>108</v>
      </c>
      <c r="H6" s="163" t="s">
        <v>112</v>
      </c>
      <c r="I6" s="163" t="s">
        <v>113</v>
      </c>
      <c r="J6" s="163" t="s">
        <v>114</v>
      </c>
      <c r="K6" s="163" t="s">
        <v>116</v>
      </c>
      <c r="M6" s="165">
        <v>150</v>
      </c>
      <c r="N6" s="165">
        <v>75</v>
      </c>
      <c r="O6" s="165">
        <v>75</v>
      </c>
      <c r="P6" s="165">
        <v>43</v>
      </c>
      <c r="Q6" s="165">
        <v>43</v>
      </c>
      <c r="R6" s="165">
        <v>35</v>
      </c>
      <c r="S6" s="165">
        <v>15</v>
      </c>
    </row>
    <row r="9" spans="4:19" x14ac:dyDescent="0.25">
      <c r="E9" s="469" t="s">
        <v>330</v>
      </c>
      <c r="F9" s="469"/>
      <c r="G9" s="469"/>
      <c r="H9" s="469"/>
      <c r="I9" s="469"/>
      <c r="J9" s="469"/>
      <c r="K9" s="469"/>
      <c r="M9" s="470" t="s">
        <v>98</v>
      </c>
      <c r="N9" s="470"/>
      <c r="O9" s="470"/>
      <c r="P9" s="470"/>
      <c r="Q9" s="470"/>
      <c r="R9" s="470"/>
      <c r="S9" s="470"/>
    </row>
    <row r="10" spans="4:19" x14ac:dyDescent="0.25">
      <c r="E10" s="32" t="s">
        <v>73</v>
      </c>
      <c r="F10" s="32" t="s">
        <v>74</v>
      </c>
      <c r="G10" s="32" t="s">
        <v>75</v>
      </c>
      <c r="H10" s="32" t="s">
        <v>76</v>
      </c>
      <c r="I10" s="32" t="s">
        <v>77</v>
      </c>
      <c r="J10" s="32" t="s">
        <v>78</v>
      </c>
      <c r="K10" s="32" t="s">
        <v>79</v>
      </c>
      <c r="M10" s="164" t="s">
        <v>27</v>
      </c>
      <c r="N10" s="164" t="s">
        <v>28</v>
      </c>
      <c r="O10" s="164" t="s">
        <v>29</v>
      </c>
      <c r="P10" s="164" t="s">
        <v>30</v>
      </c>
      <c r="Q10" s="164" t="s">
        <v>31</v>
      </c>
      <c r="R10" s="164" t="s">
        <v>25</v>
      </c>
      <c r="S10" s="164" t="s">
        <v>32</v>
      </c>
    </row>
    <row r="11" spans="4:19" ht="4.1500000000000004" customHeight="1" x14ac:dyDescent="0.25"/>
    <row r="12" spans="4:19" x14ac:dyDescent="0.25">
      <c r="D12" t="s">
        <v>95</v>
      </c>
      <c r="E12" s="32" t="s">
        <v>100</v>
      </c>
      <c r="F12" s="32" t="s">
        <v>101</v>
      </c>
      <c r="G12" s="32" t="s">
        <v>102</v>
      </c>
      <c r="H12" s="32" t="s">
        <v>103</v>
      </c>
      <c r="I12" s="32" t="s">
        <v>102</v>
      </c>
      <c r="J12" s="32" t="s">
        <v>104</v>
      </c>
      <c r="K12" s="32" t="s">
        <v>105</v>
      </c>
    </row>
    <row r="13" spans="4:19" x14ac:dyDescent="0.25">
      <c r="D13" t="s">
        <v>96</v>
      </c>
      <c r="E13" s="162" t="s">
        <v>114</v>
      </c>
      <c r="F13" s="162">
        <v>1.01</v>
      </c>
      <c r="G13" s="162" t="s">
        <v>110</v>
      </c>
      <c r="H13" s="162" t="s">
        <v>114</v>
      </c>
      <c r="I13" s="162" t="s">
        <v>111</v>
      </c>
      <c r="J13" s="162" t="s">
        <v>114</v>
      </c>
      <c r="K13" s="162">
        <v>0.11</v>
      </c>
      <c r="M13" s="165">
        <v>75</v>
      </c>
      <c r="N13" s="165">
        <v>43</v>
      </c>
      <c r="O13" s="165">
        <v>23</v>
      </c>
      <c r="P13" s="165">
        <v>23</v>
      </c>
      <c r="Q13" s="165">
        <v>15</v>
      </c>
      <c r="R13" s="165">
        <v>14</v>
      </c>
      <c r="S13" s="165">
        <v>9.1</v>
      </c>
    </row>
    <row r="17" spans="4:19" x14ac:dyDescent="0.25">
      <c r="E17" s="470" t="s">
        <v>94</v>
      </c>
      <c r="F17" s="470"/>
      <c r="G17" s="470"/>
      <c r="H17" s="470"/>
      <c r="I17" s="470"/>
      <c r="J17" s="470"/>
      <c r="K17" s="470"/>
      <c r="M17" s="470" t="s">
        <v>99</v>
      </c>
      <c r="N17" s="470"/>
      <c r="O17" s="470"/>
      <c r="P17" s="470"/>
      <c r="Q17" s="470"/>
      <c r="R17" s="470"/>
      <c r="S17" s="470"/>
    </row>
    <row r="18" spans="4:19" x14ac:dyDescent="0.25">
      <c r="E18" s="32" t="s">
        <v>73</v>
      </c>
      <c r="F18" s="32" t="s">
        <v>74</v>
      </c>
      <c r="G18" s="32" t="s">
        <v>75</v>
      </c>
      <c r="H18" s="32" t="s">
        <v>76</v>
      </c>
      <c r="I18" s="32" t="s">
        <v>77</v>
      </c>
      <c r="J18" s="32" t="s">
        <v>78</v>
      </c>
      <c r="K18" s="32" t="s">
        <v>79</v>
      </c>
      <c r="M18" s="32" t="s">
        <v>73</v>
      </c>
      <c r="N18" s="32" t="s">
        <v>74</v>
      </c>
      <c r="O18" s="32" t="s">
        <v>75</v>
      </c>
      <c r="P18" s="32" t="s">
        <v>76</v>
      </c>
      <c r="Q18" s="32" t="s">
        <v>77</v>
      </c>
      <c r="R18" s="32" t="s">
        <v>78</v>
      </c>
      <c r="S18" s="32" t="s">
        <v>79</v>
      </c>
    </row>
    <row r="19" spans="4:19" ht="6" customHeight="1" x14ac:dyDescent="0.25"/>
    <row r="20" spans="4:19" x14ac:dyDescent="0.25">
      <c r="E20" t="s">
        <v>107</v>
      </c>
      <c r="F20" t="s">
        <v>107</v>
      </c>
      <c r="G20" t="s">
        <v>108</v>
      </c>
      <c r="H20" t="s">
        <v>107</v>
      </c>
      <c r="I20" t="s">
        <v>107</v>
      </c>
      <c r="J20" t="s">
        <v>107</v>
      </c>
      <c r="K20" t="s">
        <v>106</v>
      </c>
    </row>
    <row r="21" spans="4:19" x14ac:dyDescent="0.25">
      <c r="D21" t="s">
        <v>109</v>
      </c>
      <c r="E21" s="33" t="s">
        <v>114</v>
      </c>
      <c r="F21" t="s">
        <v>114</v>
      </c>
      <c r="G21" t="s">
        <v>110</v>
      </c>
      <c r="H21" t="s">
        <v>114</v>
      </c>
      <c r="I21" t="s">
        <v>115</v>
      </c>
      <c r="J21">
        <v>0.01</v>
      </c>
      <c r="K21">
        <v>0.01</v>
      </c>
      <c r="M21">
        <v>3.6</v>
      </c>
      <c r="N21">
        <v>3.6</v>
      </c>
      <c r="O21">
        <v>3</v>
      </c>
      <c r="P21">
        <v>3.6</v>
      </c>
      <c r="Q21" s="33">
        <v>3</v>
      </c>
      <c r="R21" s="33">
        <v>3</v>
      </c>
      <c r="S21" s="33">
        <v>3</v>
      </c>
    </row>
    <row r="34" spans="10:36" ht="15.75" thickBot="1" x14ac:dyDescent="0.3"/>
    <row r="35" spans="10:36" ht="15.75" thickBot="1" x14ac:dyDescent="0.3">
      <c r="T35" s="466"/>
      <c r="U35" s="467"/>
      <c r="V35" s="467"/>
      <c r="W35" s="467"/>
      <c r="X35" s="467"/>
      <c r="Y35" s="467"/>
      <c r="Z35" s="468"/>
    </row>
    <row r="36" spans="10:36" ht="15.75" thickBot="1" x14ac:dyDescent="0.3">
      <c r="O36" s="46" t="s">
        <v>35</v>
      </c>
      <c r="T36" s="53"/>
      <c r="U36" s="53"/>
      <c r="V36" s="53"/>
      <c r="W36" s="53"/>
      <c r="X36" s="53"/>
      <c r="Y36" s="53"/>
      <c r="Z36" s="53"/>
    </row>
    <row r="37" spans="10:36" ht="15.75" thickBot="1" x14ac:dyDescent="0.3">
      <c r="M37" s="471" t="s">
        <v>132</v>
      </c>
      <c r="N37" s="472"/>
      <c r="O37" s="46" t="s">
        <v>58</v>
      </c>
      <c r="T37" s="54"/>
      <c r="U37" s="54"/>
      <c r="V37" s="54"/>
      <c r="W37" s="54"/>
      <c r="X37" s="54"/>
      <c r="Y37" s="54"/>
      <c r="Z37" s="54"/>
    </row>
    <row r="38" spans="10:36" ht="15.75" thickBot="1" x14ac:dyDescent="0.3">
      <c r="M38" s="471" t="s">
        <v>93</v>
      </c>
      <c r="N38" s="472"/>
      <c r="O38" s="46" t="s">
        <v>58</v>
      </c>
      <c r="T38" s="54"/>
      <c r="U38" s="54"/>
      <c r="V38" s="54"/>
      <c r="W38" s="54"/>
      <c r="X38" s="54"/>
      <c r="Y38" s="54"/>
      <c r="Z38" s="54"/>
    </row>
    <row r="39" spans="10:36" ht="15.75" thickBot="1" x14ac:dyDescent="0.3">
      <c r="M39" s="473" t="s">
        <v>94</v>
      </c>
      <c r="N39" s="473"/>
      <c r="O39" s="46" t="s">
        <v>58</v>
      </c>
      <c r="T39" s="54"/>
      <c r="U39" s="54"/>
      <c r="V39" s="54"/>
      <c r="W39" s="54"/>
      <c r="X39" s="54"/>
      <c r="Y39" s="54"/>
      <c r="Z39" s="54"/>
    </row>
    <row r="40" spans="10:36" ht="15.75" thickBot="1" x14ac:dyDescent="0.3">
      <c r="M40" s="50"/>
      <c r="N40" s="50"/>
      <c r="O40" s="50"/>
      <c r="P40" s="51"/>
      <c r="Q40" s="51"/>
      <c r="R40" s="51"/>
      <c r="T40" s="52"/>
      <c r="U40" s="52"/>
      <c r="V40" s="52"/>
      <c r="W40" s="52"/>
      <c r="X40" s="52"/>
      <c r="Y40" s="52"/>
      <c r="Z40" s="52"/>
    </row>
    <row r="41" spans="10:36" ht="15.75" thickBot="1" x14ac:dyDescent="0.3">
      <c r="M41" s="471" t="s">
        <v>136</v>
      </c>
      <c r="N41" s="472"/>
      <c r="O41" s="474"/>
      <c r="P41" s="475" t="s">
        <v>137</v>
      </c>
      <c r="Q41" s="476"/>
      <c r="R41" s="476"/>
      <c r="S41" s="476"/>
      <c r="T41" s="476"/>
      <c r="U41" s="476"/>
      <c r="V41" s="477"/>
    </row>
    <row r="42" spans="10:36" ht="33.75" customHeight="1" thickBot="1" x14ac:dyDescent="0.3">
      <c r="L42" s="46" t="s">
        <v>35</v>
      </c>
      <c r="M42" s="65" t="s">
        <v>133</v>
      </c>
      <c r="N42" s="65" t="s">
        <v>134</v>
      </c>
      <c r="O42" s="65" t="s">
        <v>135</v>
      </c>
      <c r="P42" s="49" t="s">
        <v>73</v>
      </c>
      <c r="Q42" s="49" t="s">
        <v>74</v>
      </c>
      <c r="R42" s="49" t="s">
        <v>75</v>
      </c>
      <c r="S42" s="49" t="s">
        <v>76</v>
      </c>
      <c r="T42" s="49" t="s">
        <v>77</v>
      </c>
      <c r="U42" s="49" t="s">
        <v>78</v>
      </c>
      <c r="V42" s="49" t="s">
        <v>79</v>
      </c>
    </row>
    <row r="43" spans="10:36" ht="15.75" thickBot="1" x14ac:dyDescent="0.3">
      <c r="J43" s="471" t="s">
        <v>132</v>
      </c>
      <c r="K43" s="472"/>
      <c r="L43" s="46" t="s">
        <v>58</v>
      </c>
      <c r="M43" s="47" t="s">
        <v>37</v>
      </c>
      <c r="N43" s="47" t="s">
        <v>37</v>
      </c>
      <c r="O43" s="47" t="s">
        <v>37</v>
      </c>
      <c r="P43" s="47">
        <v>150</v>
      </c>
      <c r="Q43" s="47">
        <v>75</v>
      </c>
      <c r="R43" s="47">
        <v>75</v>
      </c>
      <c r="S43" s="47">
        <v>43</v>
      </c>
      <c r="T43" s="47">
        <v>43</v>
      </c>
      <c r="U43" s="47">
        <v>35</v>
      </c>
      <c r="V43" s="47">
        <v>15</v>
      </c>
    </row>
    <row r="44" spans="10:36" ht="15.75" thickBot="1" x14ac:dyDescent="0.3">
      <c r="J44" s="471" t="s">
        <v>93</v>
      </c>
      <c r="K44" s="472"/>
      <c r="L44" s="46" t="s">
        <v>58</v>
      </c>
      <c r="M44" s="48">
        <v>1000</v>
      </c>
      <c r="N44" s="48">
        <v>2000</v>
      </c>
      <c r="O44" s="48">
        <v>1000</v>
      </c>
      <c r="P44" s="47">
        <v>75</v>
      </c>
      <c r="Q44" s="47">
        <v>43</v>
      </c>
      <c r="R44" s="47">
        <v>23</v>
      </c>
      <c r="S44" s="47">
        <v>23</v>
      </c>
      <c r="T44" s="47">
        <v>15</v>
      </c>
      <c r="U44" s="47">
        <v>14</v>
      </c>
      <c r="V44" s="47">
        <v>9.1</v>
      </c>
    </row>
    <row r="47" spans="10:36" ht="15.75" thickBot="1" x14ac:dyDescent="0.3"/>
    <row r="48" spans="10:36" ht="15.75" thickBot="1" x14ac:dyDescent="0.3">
      <c r="AD48" s="475" t="s">
        <v>137</v>
      </c>
      <c r="AE48" s="476"/>
      <c r="AF48" s="476"/>
      <c r="AG48" s="476"/>
      <c r="AH48" s="476"/>
      <c r="AI48" s="476"/>
      <c r="AJ48" s="477"/>
    </row>
    <row r="49" spans="27:36" ht="15.75" thickBot="1" x14ac:dyDescent="0.3">
      <c r="AC49" s="55" t="s">
        <v>35</v>
      </c>
      <c r="AD49" s="49" t="s">
        <v>73</v>
      </c>
      <c r="AE49" s="49" t="s">
        <v>74</v>
      </c>
      <c r="AF49" s="49" t="s">
        <v>75</v>
      </c>
      <c r="AG49" s="49" t="s">
        <v>76</v>
      </c>
      <c r="AH49" s="49" t="s">
        <v>77</v>
      </c>
      <c r="AI49" s="49" t="s">
        <v>78</v>
      </c>
      <c r="AJ49" s="49" t="s">
        <v>79</v>
      </c>
    </row>
    <row r="50" spans="27:36" ht="15.75" thickBot="1" x14ac:dyDescent="0.3">
      <c r="AA50" s="471" t="s">
        <v>132</v>
      </c>
      <c r="AB50" s="472"/>
      <c r="AC50" s="55" t="s">
        <v>58</v>
      </c>
      <c r="AD50" s="47">
        <v>11</v>
      </c>
      <c r="AE50" s="47">
        <v>7.2</v>
      </c>
      <c r="AF50" s="47">
        <v>15</v>
      </c>
      <c r="AG50" s="47">
        <v>7.3</v>
      </c>
      <c r="AH50" s="47">
        <v>9.3000000000000007</v>
      </c>
      <c r="AI50" s="47">
        <v>3.6</v>
      </c>
      <c r="AJ50" s="47">
        <v>9.1999999999999993</v>
      </c>
    </row>
    <row r="51" spans="27:36" ht="15.75" thickBot="1" x14ac:dyDescent="0.3">
      <c r="AA51" s="471" t="s">
        <v>93</v>
      </c>
      <c r="AB51" s="472"/>
      <c r="AC51" s="55" t="s">
        <v>58</v>
      </c>
      <c r="AD51" s="47">
        <v>3.6</v>
      </c>
      <c r="AE51" s="47">
        <v>7.2</v>
      </c>
      <c r="AF51" s="47">
        <v>3</v>
      </c>
      <c r="AG51" s="47">
        <v>3.6</v>
      </c>
      <c r="AH51" s="47">
        <v>6.1</v>
      </c>
      <c r="AI51" s="47">
        <v>3.6</v>
      </c>
      <c r="AJ51" s="47">
        <v>6.1</v>
      </c>
    </row>
    <row r="52" spans="27:36" ht="15.75" thickBot="1" x14ac:dyDescent="0.3">
      <c r="AA52" s="473" t="s">
        <v>94</v>
      </c>
      <c r="AB52" s="473"/>
      <c r="AC52" s="55" t="s">
        <v>58</v>
      </c>
      <c r="AD52" s="47">
        <v>3.6</v>
      </c>
      <c r="AE52" s="47">
        <v>3.6</v>
      </c>
      <c r="AF52" s="47">
        <v>3</v>
      </c>
      <c r="AG52" s="47">
        <v>3.6</v>
      </c>
      <c r="AH52" s="47">
        <v>3</v>
      </c>
      <c r="AI52" s="47">
        <v>3</v>
      </c>
      <c r="AJ52" s="47">
        <v>3</v>
      </c>
    </row>
  </sheetData>
  <mergeCells count="18">
    <mergeCell ref="AA51:AB51"/>
    <mergeCell ref="AA52:AB52"/>
    <mergeCell ref="J43:K43"/>
    <mergeCell ref="J44:K44"/>
    <mergeCell ref="AD48:AJ48"/>
    <mergeCell ref="M37:N37"/>
    <mergeCell ref="M38:N38"/>
    <mergeCell ref="M39:N39"/>
    <mergeCell ref="AA50:AB50"/>
    <mergeCell ref="M41:O41"/>
    <mergeCell ref="P41:V41"/>
    <mergeCell ref="T35:Z35"/>
    <mergeCell ref="E2:K2"/>
    <mergeCell ref="E9:K9"/>
    <mergeCell ref="E17:K17"/>
    <mergeCell ref="M2:S2"/>
    <mergeCell ref="M9:S9"/>
    <mergeCell ref="M17:S17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6145" r:id="rId4">
          <objectPr defaultSize="0" autoPict="0" r:id="rId5">
            <anchor moveWithCells="1">
              <from>
                <xdr:col>20</xdr:col>
                <xdr:colOff>590550</xdr:colOff>
                <xdr:row>0</xdr:row>
                <xdr:rowOff>66675</xdr:rowOff>
              </from>
              <to>
                <xdr:col>28</xdr:col>
                <xdr:colOff>85725</xdr:colOff>
                <xdr:row>24</xdr:row>
                <xdr:rowOff>66675</xdr:rowOff>
              </to>
            </anchor>
          </objectPr>
        </oleObject>
      </mc:Choice>
      <mc:Fallback>
        <oleObject progId="Paint.Picture" shapeId="6145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showGridLines="0" view="pageBreakPreview" zoomScaleNormal="145" zoomScaleSheetLayoutView="100" workbookViewId="0">
      <selection activeCell="B61" sqref="B61:B62"/>
    </sheetView>
  </sheetViews>
  <sheetFormatPr baseColWidth="10" defaultColWidth="11.42578125" defaultRowHeight="15" x14ac:dyDescent="0.25"/>
  <cols>
    <col min="2" max="2" width="19.85546875" bestFit="1" customWidth="1"/>
    <col min="3" max="4" width="8.42578125" customWidth="1"/>
    <col min="5" max="5" width="8.5703125" customWidth="1"/>
    <col min="6" max="6" width="5.7109375" style="37" customWidth="1"/>
    <col min="7" max="7" width="7.5703125" customWidth="1"/>
    <col min="8" max="8" width="7.7109375" customWidth="1"/>
    <col min="9" max="9" width="9.28515625" customWidth="1"/>
    <col min="10" max="10" width="8.85546875" customWidth="1"/>
    <col min="11" max="11" width="7.140625" customWidth="1"/>
    <col min="12" max="12" width="11.7109375" customWidth="1"/>
    <col min="14" max="14" width="23.7109375" customWidth="1"/>
  </cols>
  <sheetData>
    <row r="1" spans="1:12" ht="6" customHeight="1" x14ac:dyDescent="0.25"/>
    <row r="2" spans="1:12" ht="6" customHeight="1" x14ac:dyDescent="0.25"/>
    <row r="3" spans="1:12" ht="6.75" customHeight="1" x14ac:dyDescent="0.25"/>
    <row r="4" spans="1:12" ht="37.5" customHeight="1" x14ac:dyDescent="0.25">
      <c r="B4" s="387" t="s">
        <v>82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</row>
    <row r="5" spans="1:12" ht="2.25" customHeight="1" thickBot="1" x14ac:dyDescent="0.3"/>
    <row r="6" spans="1:12" ht="24.75" customHeight="1" thickBot="1" x14ac:dyDescent="0.3">
      <c r="B6" s="381" t="s">
        <v>34</v>
      </c>
      <c r="C6" s="381" t="s">
        <v>35</v>
      </c>
      <c r="D6" s="389" t="s">
        <v>33</v>
      </c>
      <c r="E6" s="389"/>
      <c r="F6" s="478" t="s">
        <v>27</v>
      </c>
      <c r="G6" s="379" t="s">
        <v>28</v>
      </c>
      <c r="H6" s="379" t="s">
        <v>29</v>
      </c>
      <c r="I6" s="379" t="s">
        <v>30</v>
      </c>
      <c r="J6" s="379" t="s">
        <v>31</v>
      </c>
      <c r="K6" s="379" t="s">
        <v>25</v>
      </c>
      <c r="L6" s="379" t="s">
        <v>32</v>
      </c>
    </row>
    <row r="7" spans="1:12" ht="24.75" customHeight="1" thickBot="1" x14ac:dyDescent="0.3">
      <c r="B7" s="382"/>
      <c r="C7" s="382"/>
      <c r="D7" s="19" t="s">
        <v>60</v>
      </c>
      <c r="E7" s="18" t="s">
        <v>61</v>
      </c>
      <c r="F7" s="479"/>
      <c r="G7" s="380"/>
      <c r="H7" s="380"/>
      <c r="I7" s="380"/>
      <c r="J7" s="380"/>
      <c r="K7" s="380"/>
      <c r="L7" s="380"/>
    </row>
    <row r="8" spans="1:12" ht="3" customHeight="1" thickBot="1" x14ac:dyDescent="0.3"/>
    <row r="9" spans="1:12" ht="35.25" customHeight="1" thickBot="1" x14ac:dyDescent="0.3">
      <c r="B9" s="4" t="s">
        <v>306</v>
      </c>
      <c r="F9" s="38">
        <v>2500</v>
      </c>
      <c r="G9" s="38">
        <v>2500</v>
      </c>
      <c r="H9" s="38">
        <v>2500</v>
      </c>
      <c r="I9" s="38">
        <v>2500</v>
      </c>
      <c r="J9" s="38">
        <v>2500</v>
      </c>
      <c r="K9" s="38">
        <v>2500</v>
      </c>
      <c r="L9" s="38">
        <v>2500</v>
      </c>
    </row>
    <row r="10" spans="1:12" ht="24.75" thickBot="1" x14ac:dyDescent="0.3">
      <c r="A10" t="s">
        <v>84</v>
      </c>
      <c r="B10" s="4" t="s">
        <v>304</v>
      </c>
      <c r="C10" s="4" t="s">
        <v>64</v>
      </c>
      <c r="D10" s="4" t="s">
        <v>62</v>
      </c>
      <c r="E10" s="4" t="s">
        <v>63</v>
      </c>
      <c r="F10" s="38">
        <f>3.4*1000</f>
        <v>3400</v>
      </c>
      <c r="G10" s="27">
        <f>2.25*1000</f>
        <v>2250</v>
      </c>
      <c r="H10" s="27">
        <f>3*1000</f>
        <v>3000</v>
      </c>
      <c r="I10" s="27">
        <f>2.7*1000</f>
        <v>2700</v>
      </c>
      <c r="J10" s="27">
        <f>2.26*1000</f>
        <v>2260</v>
      </c>
      <c r="K10" s="4">
        <v>263</v>
      </c>
      <c r="L10" s="4">
        <v>262</v>
      </c>
    </row>
    <row r="11" spans="1:12" ht="24.75" thickBot="1" x14ac:dyDescent="0.3">
      <c r="B11" s="4" t="s">
        <v>305</v>
      </c>
      <c r="C11" s="4" t="s">
        <v>64</v>
      </c>
      <c r="D11" s="4" t="s">
        <v>62</v>
      </c>
      <c r="E11" s="4" t="s">
        <v>63</v>
      </c>
      <c r="F11" s="38">
        <v>3540</v>
      </c>
      <c r="G11" s="27">
        <v>2350</v>
      </c>
      <c r="H11" s="27">
        <v>2060</v>
      </c>
      <c r="I11" s="27">
        <v>2670</v>
      </c>
      <c r="J11" s="27">
        <v>2360</v>
      </c>
      <c r="K11" s="4">
        <v>315</v>
      </c>
      <c r="L11" s="4">
        <v>309</v>
      </c>
    </row>
    <row r="12" spans="1:12" ht="24.75" thickBot="1" x14ac:dyDescent="0.3">
      <c r="B12" s="4" t="s">
        <v>307</v>
      </c>
      <c r="C12" s="4"/>
      <c r="D12" s="4"/>
      <c r="E12" s="4"/>
      <c r="F12" s="38">
        <v>5000</v>
      </c>
      <c r="G12" s="38">
        <v>5000</v>
      </c>
      <c r="H12" s="38">
        <v>5000</v>
      </c>
      <c r="I12" s="38">
        <v>5000</v>
      </c>
      <c r="J12" s="38">
        <v>5000</v>
      </c>
      <c r="K12" s="38">
        <v>5000</v>
      </c>
      <c r="L12" s="38">
        <v>5000</v>
      </c>
    </row>
    <row r="13" spans="1:12" ht="11.45" customHeight="1" thickBot="1" x14ac:dyDescent="0.3">
      <c r="B13" s="12"/>
      <c r="C13" s="12"/>
      <c r="D13" s="12"/>
      <c r="E13" s="12"/>
      <c r="F13" s="74"/>
      <c r="G13" s="75"/>
      <c r="H13" s="75"/>
      <c r="I13" s="75"/>
      <c r="J13" s="75"/>
      <c r="K13" s="12"/>
      <c r="L13" s="12"/>
    </row>
    <row r="14" spans="1:12" ht="11.45" customHeight="1" thickBot="1" x14ac:dyDescent="0.3">
      <c r="B14" s="4" t="s">
        <v>310</v>
      </c>
      <c r="C14" s="14" t="s">
        <v>37</v>
      </c>
      <c r="D14" s="12"/>
      <c r="E14" s="12"/>
      <c r="F14" s="39">
        <v>6.5</v>
      </c>
      <c r="G14" s="39">
        <v>6.5</v>
      </c>
      <c r="H14" s="39">
        <v>6.5</v>
      </c>
      <c r="I14" s="39">
        <v>6.5</v>
      </c>
      <c r="J14" s="39">
        <v>6.5</v>
      </c>
      <c r="K14" s="39">
        <v>6.5</v>
      </c>
      <c r="L14" s="39">
        <v>6.5</v>
      </c>
    </row>
    <row r="15" spans="1:12" ht="15.75" thickBot="1" x14ac:dyDescent="0.3">
      <c r="B15" s="4" t="s">
        <v>308</v>
      </c>
      <c r="C15" s="14" t="s">
        <v>37</v>
      </c>
      <c r="D15" s="14" t="s">
        <v>65</v>
      </c>
      <c r="E15" s="4" t="s">
        <v>66</v>
      </c>
      <c r="F15" s="72">
        <v>8.3829999999999991</v>
      </c>
      <c r="G15" s="66">
        <v>8.26</v>
      </c>
      <c r="H15" s="66">
        <v>7.9619999999999997</v>
      </c>
      <c r="I15" s="66">
        <v>7.944</v>
      </c>
      <c r="J15" s="66">
        <v>7.9829999999999997</v>
      </c>
      <c r="K15" s="66">
        <v>8.4410000000000007</v>
      </c>
      <c r="L15" s="66">
        <v>8.2530000000000001</v>
      </c>
    </row>
    <row r="16" spans="1:12" ht="15.75" thickBot="1" x14ac:dyDescent="0.3">
      <c r="B16" s="4" t="s">
        <v>309</v>
      </c>
      <c r="C16" s="14"/>
      <c r="D16" s="14"/>
      <c r="E16" s="4"/>
      <c r="F16" s="72">
        <v>7.23</v>
      </c>
      <c r="G16" s="66">
        <v>7.2</v>
      </c>
      <c r="H16" s="66">
        <v>7.29</v>
      </c>
      <c r="I16" s="66">
        <v>7.29</v>
      </c>
      <c r="J16" s="66">
        <v>7.34</v>
      </c>
      <c r="K16" s="66">
        <v>7.01</v>
      </c>
      <c r="L16" s="66">
        <v>7.01</v>
      </c>
    </row>
    <row r="17" spans="2:24" ht="15.75" thickBot="1" x14ac:dyDescent="0.3">
      <c r="B17" s="4" t="s">
        <v>310</v>
      </c>
      <c r="C17" s="14"/>
      <c r="D17" s="14"/>
      <c r="E17" s="4"/>
      <c r="F17" s="39">
        <v>8.5</v>
      </c>
      <c r="G17" s="39">
        <v>8.5</v>
      </c>
      <c r="H17" s="39">
        <v>8.5</v>
      </c>
      <c r="I17" s="39">
        <v>8.5</v>
      </c>
      <c r="J17" s="39">
        <v>8.5</v>
      </c>
      <c r="K17" s="39">
        <v>8.5</v>
      </c>
      <c r="L17" s="39">
        <v>8.5</v>
      </c>
    </row>
    <row r="18" spans="2:24" ht="15.75" thickBot="1" x14ac:dyDescent="0.3">
      <c r="B18" s="12"/>
      <c r="C18" s="22"/>
      <c r="D18" s="22"/>
      <c r="E18" s="12"/>
      <c r="F18" s="41"/>
      <c r="G18" s="12"/>
      <c r="H18" s="12"/>
      <c r="I18" s="12"/>
      <c r="J18" s="12"/>
      <c r="K18" s="12"/>
      <c r="L18" s="12"/>
    </row>
    <row r="19" spans="2:24" ht="24.75" thickBot="1" x14ac:dyDescent="0.3">
      <c r="B19" s="4" t="s">
        <v>311</v>
      </c>
      <c r="C19" s="4" t="s">
        <v>24</v>
      </c>
      <c r="D19" s="14" t="s">
        <v>37</v>
      </c>
      <c r="E19" s="14" t="s">
        <v>37</v>
      </c>
      <c r="F19" s="40">
        <f>F10/2</f>
        <v>1700</v>
      </c>
      <c r="G19" s="40">
        <f t="shared" ref="G19:L19" si="0">G10/2</f>
        <v>1125</v>
      </c>
      <c r="H19" s="40">
        <f t="shared" si="0"/>
        <v>1500</v>
      </c>
      <c r="I19" s="40">
        <f t="shared" si="0"/>
        <v>1350</v>
      </c>
      <c r="J19" s="40">
        <f t="shared" si="0"/>
        <v>1130</v>
      </c>
      <c r="K19" s="40">
        <f t="shared" si="0"/>
        <v>131.5</v>
      </c>
      <c r="L19" s="40">
        <f t="shared" si="0"/>
        <v>131</v>
      </c>
    </row>
    <row r="20" spans="2:24" ht="24.75" thickBot="1" x14ac:dyDescent="0.3">
      <c r="B20" s="4" t="s">
        <v>312</v>
      </c>
      <c r="C20" s="4"/>
      <c r="D20" s="14"/>
      <c r="E20" s="14"/>
      <c r="F20" s="40">
        <v>1167</v>
      </c>
      <c r="G20" s="40">
        <v>1151</v>
      </c>
      <c r="H20" s="40">
        <v>1524</v>
      </c>
      <c r="I20" s="40">
        <v>1318</v>
      </c>
      <c r="J20" s="40">
        <v>1160</v>
      </c>
      <c r="K20" s="40">
        <v>156.4</v>
      </c>
      <c r="L20" s="40">
        <v>156.5</v>
      </c>
    </row>
    <row r="21" spans="2:24" ht="15.75" thickBot="1" x14ac:dyDescent="0.3">
      <c r="B21" s="12"/>
      <c r="C21" s="12"/>
      <c r="D21" s="22"/>
      <c r="E21" s="22"/>
      <c r="F21" s="76"/>
      <c r="G21" s="12"/>
      <c r="H21" s="12"/>
      <c r="I21" s="12"/>
      <c r="J21" s="12"/>
      <c r="K21" s="12"/>
      <c r="L21" s="12"/>
    </row>
    <row r="22" spans="2:24" ht="15.75" thickBot="1" x14ac:dyDescent="0.3">
      <c r="B22" s="4" t="s">
        <v>313</v>
      </c>
      <c r="C22" s="4" t="s">
        <v>40</v>
      </c>
      <c r="D22" s="14" t="s">
        <v>37</v>
      </c>
      <c r="E22" s="14" t="s">
        <v>37</v>
      </c>
      <c r="F22" s="39">
        <v>26.5</v>
      </c>
      <c r="G22" s="4">
        <v>26.1</v>
      </c>
      <c r="H22" s="4">
        <v>25.7</v>
      </c>
      <c r="I22" s="4">
        <v>25.9</v>
      </c>
      <c r="J22" s="4">
        <v>25.9</v>
      </c>
      <c r="K22" s="4">
        <v>24.9</v>
      </c>
      <c r="L22" s="4">
        <v>23.6</v>
      </c>
    </row>
    <row r="23" spans="2:24" ht="15.75" thickBot="1" x14ac:dyDescent="0.3">
      <c r="B23" s="4" t="s">
        <v>314</v>
      </c>
      <c r="C23" s="73"/>
      <c r="D23" s="36"/>
      <c r="E23" s="36"/>
      <c r="F23" s="69">
        <v>27</v>
      </c>
      <c r="G23" s="69">
        <v>26.3</v>
      </c>
      <c r="H23" s="69">
        <v>26.7</v>
      </c>
      <c r="I23" s="69">
        <v>26.7</v>
      </c>
      <c r="J23" s="69">
        <v>26.6</v>
      </c>
      <c r="K23" s="69">
        <v>23.2</v>
      </c>
      <c r="L23" s="28">
        <v>22.7</v>
      </c>
    </row>
    <row r="24" spans="2:24" ht="21.75" customHeight="1" x14ac:dyDescent="0.25"/>
    <row r="25" spans="2:24" ht="33.75" customHeight="1" x14ac:dyDescent="0.25">
      <c r="B25" s="387" t="s">
        <v>83</v>
      </c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N25" s="387" t="s">
        <v>36</v>
      </c>
      <c r="O25" s="388"/>
      <c r="P25" s="388"/>
      <c r="Q25" s="388"/>
      <c r="R25" s="388"/>
      <c r="S25" s="388"/>
      <c r="T25" s="388"/>
      <c r="U25" s="388"/>
      <c r="V25" s="388"/>
      <c r="W25" s="388"/>
      <c r="X25" s="388"/>
    </row>
    <row r="26" spans="2:24" ht="2.25" customHeight="1" thickBot="1" x14ac:dyDescent="0.3"/>
    <row r="27" spans="2:24" ht="24.75" customHeight="1" thickBot="1" x14ac:dyDescent="0.3">
      <c r="B27" s="381" t="s">
        <v>34</v>
      </c>
      <c r="C27" s="381" t="s">
        <v>35</v>
      </c>
      <c r="D27" s="389" t="s">
        <v>33</v>
      </c>
      <c r="E27" s="389"/>
      <c r="N27" s="381" t="s">
        <v>34</v>
      </c>
      <c r="O27" s="381" t="s">
        <v>35</v>
      </c>
      <c r="P27" s="389" t="s">
        <v>33</v>
      </c>
      <c r="Q27" s="389"/>
      <c r="R27" s="25" t="s">
        <v>73</v>
      </c>
      <c r="S27" s="25" t="s">
        <v>74</v>
      </c>
      <c r="T27" s="25" t="s">
        <v>75</v>
      </c>
      <c r="U27" s="25" t="s">
        <v>76</v>
      </c>
      <c r="V27" s="25" t="s">
        <v>77</v>
      </c>
      <c r="W27" s="25" t="s">
        <v>78</v>
      </c>
      <c r="X27" s="25" t="s">
        <v>79</v>
      </c>
    </row>
    <row r="28" spans="2:24" ht="24.75" customHeight="1" thickBot="1" x14ac:dyDescent="0.3">
      <c r="B28" s="382"/>
      <c r="C28" s="382"/>
      <c r="D28" s="19" t="s">
        <v>60</v>
      </c>
      <c r="E28" s="18" t="s">
        <v>61</v>
      </c>
      <c r="F28" s="45" t="s">
        <v>27</v>
      </c>
      <c r="G28" s="30" t="s">
        <v>28</v>
      </c>
      <c r="H28" s="30" t="s">
        <v>29</v>
      </c>
      <c r="I28" s="30" t="s">
        <v>30</v>
      </c>
      <c r="J28" s="30" t="s">
        <v>31</v>
      </c>
      <c r="K28" s="30" t="s">
        <v>25</v>
      </c>
      <c r="L28" s="30" t="s">
        <v>32</v>
      </c>
      <c r="N28" s="382"/>
      <c r="O28" s="382"/>
      <c r="P28" s="19" t="s">
        <v>60</v>
      </c>
      <c r="Q28" s="18" t="s">
        <v>61</v>
      </c>
      <c r="R28" s="24" t="s">
        <v>27</v>
      </c>
      <c r="S28" s="24" t="s">
        <v>28</v>
      </c>
      <c r="T28" s="24" t="s">
        <v>29</v>
      </c>
      <c r="U28" s="24" t="s">
        <v>30</v>
      </c>
      <c r="V28" s="24" t="s">
        <v>31</v>
      </c>
      <c r="W28" s="24" t="s">
        <v>25</v>
      </c>
      <c r="X28" s="24" t="s">
        <v>32</v>
      </c>
    </row>
    <row r="29" spans="2:24" ht="15.75" thickBot="1" x14ac:dyDescent="0.3">
      <c r="B29" s="4" t="s">
        <v>86</v>
      </c>
      <c r="C29" s="4" t="s">
        <v>53</v>
      </c>
      <c r="D29" s="14" t="s">
        <v>37</v>
      </c>
      <c r="E29" s="14" t="s">
        <v>37</v>
      </c>
      <c r="F29" s="72">
        <v>61.9</v>
      </c>
      <c r="G29" s="66">
        <v>19.8</v>
      </c>
      <c r="H29" s="66">
        <v>31.6</v>
      </c>
      <c r="I29" s="66">
        <v>33.1</v>
      </c>
      <c r="J29" s="66">
        <v>57.2</v>
      </c>
      <c r="K29" s="70">
        <v>405</v>
      </c>
      <c r="L29" s="70">
        <v>433</v>
      </c>
    </row>
    <row r="30" spans="2:24" ht="15.75" thickBot="1" x14ac:dyDescent="0.3">
      <c r="B30" s="4" t="s">
        <v>85</v>
      </c>
      <c r="C30" s="4" t="s">
        <v>53</v>
      </c>
      <c r="D30" s="14" t="s">
        <v>37</v>
      </c>
      <c r="E30" s="14" t="s">
        <v>37</v>
      </c>
      <c r="F30" s="72">
        <v>8.4499999999999993</v>
      </c>
      <c r="G30" s="66">
        <v>9.59</v>
      </c>
      <c r="H30" s="66">
        <v>10.199999999999999</v>
      </c>
      <c r="I30" s="66">
        <v>15.1</v>
      </c>
      <c r="J30" s="66">
        <v>25.6</v>
      </c>
      <c r="K30" s="70">
        <v>190</v>
      </c>
      <c r="L30" s="70">
        <v>232</v>
      </c>
    </row>
    <row r="31" spans="2:24" ht="15.75" thickBot="1" x14ac:dyDescent="0.3">
      <c r="B31" s="4" t="s">
        <v>302</v>
      </c>
      <c r="C31" s="4" t="s">
        <v>53</v>
      </c>
      <c r="D31" s="14" t="s">
        <v>37</v>
      </c>
      <c r="E31" s="14" t="s">
        <v>37</v>
      </c>
      <c r="F31" s="72">
        <v>13.1</v>
      </c>
      <c r="G31" s="66">
        <v>15</v>
      </c>
      <c r="H31" s="66">
        <v>11.5</v>
      </c>
      <c r="I31" s="66">
        <v>19.100000000000001</v>
      </c>
      <c r="J31" s="66">
        <v>29.1</v>
      </c>
      <c r="K31" s="70">
        <v>129</v>
      </c>
      <c r="L31" s="70">
        <v>104</v>
      </c>
      <c r="N31" s="4"/>
      <c r="O31" s="4"/>
      <c r="P31" s="14"/>
      <c r="Q31" s="14"/>
      <c r="R31" s="4"/>
      <c r="S31" s="4"/>
      <c r="T31" s="4"/>
      <c r="U31" s="4"/>
      <c r="V31" s="4"/>
      <c r="W31" s="4"/>
      <c r="X31" s="4"/>
    </row>
    <row r="32" spans="2:24" ht="3" customHeight="1" thickBot="1" x14ac:dyDescent="0.3">
      <c r="B32" s="4"/>
      <c r="C32" s="4"/>
      <c r="D32" s="14"/>
      <c r="E32" s="14"/>
      <c r="F32" s="39"/>
      <c r="G32" s="4"/>
      <c r="H32" s="4"/>
      <c r="I32" s="4"/>
      <c r="J32" s="4"/>
      <c r="K32" s="4"/>
      <c r="L32" s="4"/>
      <c r="N32" s="4"/>
      <c r="O32" s="4"/>
      <c r="P32" s="14"/>
      <c r="Q32" s="14"/>
      <c r="R32" s="4"/>
      <c r="S32" s="4"/>
      <c r="T32" s="4"/>
      <c r="U32" s="4"/>
      <c r="V32" s="4"/>
      <c r="W32" s="4"/>
      <c r="X32" s="4"/>
    </row>
    <row r="33" spans="2:24" ht="24.75" thickBot="1" x14ac:dyDescent="0.3">
      <c r="B33" s="4" t="s">
        <v>87</v>
      </c>
      <c r="C33" s="4" t="s">
        <v>54</v>
      </c>
      <c r="D33" s="4" t="s">
        <v>59</v>
      </c>
      <c r="E33" s="4" t="s">
        <v>59</v>
      </c>
      <c r="F33" s="39">
        <f>70*2</f>
        <v>140</v>
      </c>
      <c r="G33" s="4">
        <f>54*2</f>
        <v>108</v>
      </c>
      <c r="H33" s="4">
        <f>59*2</f>
        <v>118</v>
      </c>
      <c r="I33" s="4">
        <f>60*4</f>
        <v>240</v>
      </c>
      <c r="J33" s="4">
        <f>50*2</f>
        <v>100</v>
      </c>
      <c r="K33" s="4">
        <f>37*2</f>
        <v>74</v>
      </c>
      <c r="L33" s="4">
        <f>33*2</f>
        <v>66</v>
      </c>
      <c r="M33" s="4" t="s">
        <v>89</v>
      </c>
    </row>
    <row r="34" spans="2:24" ht="24.75" thickBot="1" x14ac:dyDescent="0.3">
      <c r="B34" s="4" t="s">
        <v>88</v>
      </c>
      <c r="C34" s="4" t="s">
        <v>54</v>
      </c>
      <c r="D34" s="4" t="s">
        <v>59</v>
      </c>
      <c r="E34" s="4" t="s">
        <v>59</v>
      </c>
      <c r="F34" s="39">
        <v>140</v>
      </c>
      <c r="G34" s="4">
        <v>132</v>
      </c>
      <c r="H34" s="4">
        <v>138</v>
      </c>
      <c r="I34" s="4">
        <v>136</v>
      </c>
      <c r="J34" s="4">
        <v>134</v>
      </c>
      <c r="K34" s="4">
        <v>65</v>
      </c>
      <c r="L34" s="4">
        <v>62</v>
      </c>
      <c r="M34" s="31">
        <v>1000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ht="15.75" thickBot="1" x14ac:dyDescent="0.3">
      <c r="B35" s="4" t="s">
        <v>303</v>
      </c>
      <c r="C35" s="4" t="s">
        <v>54</v>
      </c>
      <c r="D35" s="4" t="s">
        <v>59</v>
      </c>
      <c r="E35" s="4" t="s">
        <v>59</v>
      </c>
      <c r="F35" s="4">
        <f>66*3</f>
        <v>198</v>
      </c>
      <c r="G35" s="4">
        <f>37*3</f>
        <v>111</v>
      </c>
      <c r="H35" s="4">
        <f>64*3</f>
        <v>192</v>
      </c>
      <c r="I35" s="4">
        <f>71*3</f>
        <v>213</v>
      </c>
      <c r="J35" s="4">
        <f>63*3</f>
        <v>189</v>
      </c>
      <c r="K35" s="4">
        <f>28*3</f>
        <v>84</v>
      </c>
      <c r="L35" s="4">
        <f>29*3</f>
        <v>87</v>
      </c>
      <c r="M35" s="7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ht="15.75" thickBot="1" x14ac:dyDescent="0.3">
      <c r="B36" s="4" t="str">
        <f>M33</f>
        <v xml:space="preserve">LMP-DS N° 004-2017 </v>
      </c>
      <c r="C36" s="4" t="s">
        <v>54</v>
      </c>
      <c r="D36" s="4"/>
      <c r="E36" s="4"/>
      <c r="F36" s="39">
        <f>$M$34</f>
        <v>1000</v>
      </c>
      <c r="G36" s="4">
        <f t="shared" ref="G36:L36" si="1">$M$34</f>
        <v>1000</v>
      </c>
      <c r="H36" s="4">
        <f t="shared" si="1"/>
        <v>1000</v>
      </c>
      <c r="I36" s="4">
        <f t="shared" si="1"/>
        <v>1000</v>
      </c>
      <c r="J36" s="4">
        <f t="shared" si="1"/>
        <v>1000</v>
      </c>
      <c r="K36" s="4">
        <f t="shared" si="1"/>
        <v>1000</v>
      </c>
      <c r="L36" s="4">
        <f t="shared" si="1"/>
        <v>1000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2:24" ht="3.6" customHeight="1" thickBot="1" x14ac:dyDescent="0.3">
      <c r="B37" s="12"/>
      <c r="C37" s="12"/>
      <c r="D37" s="12"/>
      <c r="E37" s="12"/>
      <c r="F37" s="41"/>
      <c r="G37" s="12"/>
      <c r="H37" s="12"/>
      <c r="I37" s="12"/>
      <c r="J37" s="12"/>
      <c r="K37" s="12"/>
      <c r="L37" s="12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ht="15.75" thickBot="1" x14ac:dyDescent="0.3">
      <c r="B38" s="4" t="s">
        <v>90</v>
      </c>
      <c r="C38" s="4" t="s">
        <v>54</v>
      </c>
      <c r="D38" s="4">
        <v>500</v>
      </c>
      <c r="E38" s="14" t="s">
        <v>37</v>
      </c>
      <c r="F38" s="42">
        <f>97.6</f>
        <v>97.6</v>
      </c>
      <c r="G38" s="5">
        <f>69.8</f>
        <v>69.8</v>
      </c>
      <c r="H38" s="5">
        <v>90.7</v>
      </c>
      <c r="I38" s="5">
        <v>85.7</v>
      </c>
      <c r="J38" s="5">
        <v>63</v>
      </c>
      <c r="K38" s="5">
        <f>14.3</f>
        <v>14.3</v>
      </c>
      <c r="L38" s="5">
        <f>11.7</f>
        <v>11.7</v>
      </c>
    </row>
    <row r="39" spans="2:24" ht="15.75" thickBot="1" x14ac:dyDescent="0.3">
      <c r="B39" s="4" t="s">
        <v>91</v>
      </c>
      <c r="C39" s="4" t="s">
        <v>54</v>
      </c>
      <c r="D39" s="4">
        <v>500</v>
      </c>
      <c r="E39" s="14" t="s">
        <v>37</v>
      </c>
      <c r="F39" s="39">
        <v>5.9</v>
      </c>
      <c r="G39" s="4">
        <v>6.9</v>
      </c>
      <c r="H39" s="4">
        <v>3.3</v>
      </c>
      <c r="I39" s="4">
        <v>5.6</v>
      </c>
      <c r="J39" s="4">
        <v>7.9</v>
      </c>
      <c r="K39" s="4">
        <v>4.3</v>
      </c>
      <c r="L39" s="4">
        <v>4.4000000000000004</v>
      </c>
      <c r="N39" s="4"/>
      <c r="O39" s="4"/>
      <c r="P39" s="4"/>
      <c r="Q39" s="14"/>
      <c r="R39" s="4"/>
      <c r="S39" s="4"/>
      <c r="T39" s="4"/>
      <c r="U39" s="4"/>
      <c r="V39" s="4"/>
      <c r="W39" s="4"/>
      <c r="X39" s="4"/>
    </row>
    <row r="40" spans="2:24" ht="15.75" thickBot="1" x14ac:dyDescent="0.3">
      <c r="B40" s="4" t="s">
        <v>315</v>
      </c>
      <c r="C40" s="4" t="s">
        <v>54</v>
      </c>
      <c r="D40" s="4">
        <v>500</v>
      </c>
      <c r="E40" s="14" t="s">
        <v>37</v>
      </c>
      <c r="F40" s="39">
        <v>52.800000000000004</v>
      </c>
      <c r="G40" s="4">
        <v>51.900000000000006</v>
      </c>
      <c r="H40" s="4">
        <f>15*3</f>
        <v>45</v>
      </c>
      <c r="I40" s="4">
        <v>23.700000000000003</v>
      </c>
      <c r="J40" s="4">
        <v>30.900000000000002</v>
      </c>
      <c r="K40" s="4">
        <v>7.5</v>
      </c>
      <c r="L40" s="4">
        <v>13.5</v>
      </c>
      <c r="N40" s="4"/>
      <c r="O40" s="4"/>
      <c r="P40" s="4"/>
      <c r="Q40" s="14"/>
      <c r="R40" s="4"/>
      <c r="S40" s="4"/>
      <c r="T40" s="4"/>
      <c r="U40" s="4"/>
      <c r="V40" s="4"/>
      <c r="W40" s="4"/>
      <c r="X40" s="4"/>
    </row>
    <row r="41" spans="2:24" ht="15.75" thickBot="1" x14ac:dyDescent="0.3">
      <c r="B41" s="4" t="s">
        <v>89</v>
      </c>
      <c r="C41" s="4" t="s">
        <v>54</v>
      </c>
      <c r="D41" s="4">
        <f>500</f>
        <v>500</v>
      </c>
      <c r="E41" s="14"/>
      <c r="F41" s="39">
        <f>$D$39</f>
        <v>500</v>
      </c>
      <c r="G41" s="4">
        <f t="shared" ref="G41:L41" si="2">$D$39</f>
        <v>500</v>
      </c>
      <c r="H41" s="4">
        <f t="shared" si="2"/>
        <v>500</v>
      </c>
      <c r="I41" s="4">
        <f t="shared" si="2"/>
        <v>500</v>
      </c>
      <c r="J41" s="4">
        <f t="shared" si="2"/>
        <v>500</v>
      </c>
      <c r="K41" s="4">
        <f t="shared" si="2"/>
        <v>500</v>
      </c>
      <c r="L41" s="4">
        <f t="shared" si="2"/>
        <v>500</v>
      </c>
      <c r="N41" s="4"/>
      <c r="O41" s="4"/>
      <c r="P41" s="4"/>
      <c r="Q41" s="14"/>
      <c r="R41" s="4"/>
      <c r="S41" s="4"/>
      <c r="T41" s="4"/>
      <c r="U41" s="4"/>
      <c r="V41" s="4"/>
      <c r="W41" s="4"/>
      <c r="X41" s="4"/>
    </row>
    <row r="42" spans="2:24" ht="6" customHeight="1" thickBot="1" x14ac:dyDescent="0.3">
      <c r="B42" s="12"/>
      <c r="C42" s="12"/>
      <c r="D42" s="12"/>
      <c r="E42" s="22"/>
      <c r="F42" s="41"/>
      <c r="G42" s="12"/>
      <c r="H42" s="12"/>
      <c r="I42" s="12"/>
      <c r="J42" s="12"/>
      <c r="K42" s="12"/>
      <c r="L42" s="12"/>
      <c r="N42" s="12"/>
      <c r="O42" s="12"/>
      <c r="P42" s="12"/>
      <c r="Q42" s="22"/>
      <c r="R42" s="12"/>
      <c r="S42" s="12"/>
      <c r="T42" s="12"/>
      <c r="U42" s="12"/>
      <c r="V42" s="12"/>
      <c r="W42" s="12"/>
      <c r="X42" s="12"/>
    </row>
    <row r="43" spans="2:24" ht="15.75" thickBot="1" x14ac:dyDescent="0.3">
      <c r="B43" s="4" t="s">
        <v>118</v>
      </c>
      <c r="C43" s="4" t="s">
        <v>54</v>
      </c>
      <c r="D43" s="4">
        <v>100</v>
      </c>
      <c r="E43" s="4">
        <v>100</v>
      </c>
      <c r="F43" s="39">
        <v>6.8</v>
      </c>
      <c r="G43" s="4">
        <v>5.5</v>
      </c>
      <c r="H43" s="28">
        <v>5</v>
      </c>
      <c r="I43" s="4">
        <v>4.2</v>
      </c>
      <c r="J43" s="4">
        <v>3.1</v>
      </c>
      <c r="K43" s="4">
        <v>0.7</v>
      </c>
      <c r="L43" s="28">
        <v>1</v>
      </c>
    </row>
    <row r="44" spans="2:24" ht="15.75" thickBot="1" x14ac:dyDescent="0.3">
      <c r="B44" s="4" t="s">
        <v>117</v>
      </c>
      <c r="C44" s="4" t="s">
        <v>54</v>
      </c>
      <c r="D44" s="4">
        <v>100</v>
      </c>
      <c r="E44" s="4">
        <v>100</v>
      </c>
      <c r="F44" s="39">
        <v>5.4</v>
      </c>
      <c r="G44" s="4">
        <v>6.5</v>
      </c>
      <c r="H44" s="4">
        <v>5.6</v>
      </c>
      <c r="I44" s="4">
        <v>5.2</v>
      </c>
      <c r="J44" s="4">
        <v>6.5</v>
      </c>
      <c r="K44" s="4">
        <v>3.4</v>
      </c>
      <c r="L44" s="4">
        <v>4.5999999999999996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2:24" ht="15.75" thickBot="1" x14ac:dyDescent="0.3">
      <c r="B45" s="4" t="s">
        <v>316</v>
      </c>
      <c r="C45" s="4" t="s">
        <v>54</v>
      </c>
      <c r="D45" s="4">
        <v>100</v>
      </c>
      <c r="E45" s="4"/>
      <c r="F45" s="39">
        <v>9.8000000000000007</v>
      </c>
      <c r="G45" s="28">
        <v>7</v>
      </c>
      <c r="H45" s="4">
        <v>5.7</v>
      </c>
      <c r="I45" s="28">
        <v>2</v>
      </c>
      <c r="J45" s="4">
        <v>4.8</v>
      </c>
      <c r="K45" s="4">
        <v>2.6</v>
      </c>
      <c r="L45" s="4">
        <v>1.5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2:24" ht="15.75" thickBot="1" x14ac:dyDescent="0.3">
      <c r="B46" s="4" t="s">
        <v>89</v>
      </c>
      <c r="C46" s="4"/>
      <c r="D46" s="4"/>
      <c r="E46" s="4">
        <v>100</v>
      </c>
      <c r="F46" s="39">
        <v>100</v>
      </c>
      <c r="G46" s="4">
        <v>100</v>
      </c>
      <c r="H46" s="4">
        <v>100</v>
      </c>
      <c r="I46" s="4">
        <v>100</v>
      </c>
      <c r="J46" s="4">
        <v>100</v>
      </c>
      <c r="K46" s="4">
        <v>100</v>
      </c>
      <c r="L46" s="4">
        <v>100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2:24" ht="15.75" thickBot="1" x14ac:dyDescent="0.3">
      <c r="B47" s="12"/>
      <c r="C47" s="12"/>
      <c r="D47" s="12"/>
      <c r="E47" s="12"/>
      <c r="F47" s="41"/>
      <c r="G47" s="12"/>
      <c r="H47" s="12"/>
      <c r="I47" s="12"/>
      <c r="J47" s="12"/>
      <c r="K47" s="12"/>
      <c r="L47" s="12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2:24" ht="24.75" thickBot="1" x14ac:dyDescent="0.3">
      <c r="B48" s="4" t="s">
        <v>119</v>
      </c>
      <c r="C48" s="4" t="s">
        <v>54</v>
      </c>
      <c r="D48" s="4" t="s">
        <v>67</v>
      </c>
      <c r="E48" s="4" t="s">
        <v>67</v>
      </c>
      <c r="F48" s="39">
        <v>0.1</v>
      </c>
      <c r="G48" s="4">
        <v>0.2</v>
      </c>
      <c r="H48" s="29">
        <v>0.3</v>
      </c>
      <c r="I48" s="29">
        <v>0.4</v>
      </c>
      <c r="J48" s="4">
        <v>0.2</v>
      </c>
      <c r="K48" s="29">
        <v>0.8</v>
      </c>
      <c r="L48" s="29">
        <v>0.8</v>
      </c>
    </row>
    <row r="49" spans="2:24" ht="24.75" thickBot="1" x14ac:dyDescent="0.3">
      <c r="B49" s="4" t="s">
        <v>120</v>
      </c>
      <c r="C49" s="4" t="s">
        <v>54</v>
      </c>
      <c r="D49" s="4" t="s">
        <v>67</v>
      </c>
      <c r="E49" s="4" t="s">
        <v>67</v>
      </c>
      <c r="F49" s="43">
        <v>3.2</v>
      </c>
      <c r="G49" s="29">
        <v>3.3</v>
      </c>
      <c r="H49" s="29">
        <v>2.5</v>
      </c>
      <c r="I49" s="29">
        <v>1.5</v>
      </c>
      <c r="J49" s="29">
        <v>2</v>
      </c>
      <c r="K49" s="29">
        <v>2.2000000000000002</v>
      </c>
      <c r="L49" s="29">
        <v>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2:24" ht="24.75" thickBot="1" x14ac:dyDescent="0.3">
      <c r="B50" s="4" t="s">
        <v>317</v>
      </c>
      <c r="C50" s="4" t="s">
        <v>54</v>
      </c>
      <c r="D50" s="4" t="s">
        <v>67</v>
      </c>
      <c r="E50" s="4" t="s">
        <v>67</v>
      </c>
      <c r="F50" s="43">
        <v>2.9</v>
      </c>
      <c r="G50" s="29">
        <v>2</v>
      </c>
      <c r="H50" s="29">
        <v>2.2999999999999998</v>
      </c>
      <c r="I50" s="29">
        <v>2.5</v>
      </c>
      <c r="J50" s="29">
        <v>2.8</v>
      </c>
      <c r="K50" s="29">
        <v>2.2000000000000002</v>
      </c>
      <c r="L50" s="29">
        <v>2.7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2:24" ht="15.75" thickBot="1" x14ac:dyDescent="0.3">
      <c r="B51" s="4" t="s">
        <v>89</v>
      </c>
      <c r="C51" s="4"/>
      <c r="D51" s="4"/>
      <c r="E51" s="4"/>
      <c r="F51" s="39">
        <v>0.2</v>
      </c>
      <c r="G51" s="4">
        <v>0.2</v>
      </c>
      <c r="H51" s="4">
        <v>0.2</v>
      </c>
      <c r="I51" s="4">
        <v>0.2</v>
      </c>
      <c r="J51" s="4">
        <v>0.2</v>
      </c>
      <c r="K51" s="4">
        <v>0.2</v>
      </c>
      <c r="L51" s="4">
        <v>0.2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2:24" ht="8.4499999999999993" customHeight="1" thickBot="1" x14ac:dyDescent="0.3">
      <c r="B52" s="12"/>
      <c r="C52" s="12"/>
      <c r="D52" s="12"/>
      <c r="E52" s="12"/>
      <c r="F52" s="41"/>
      <c r="G52" s="12"/>
      <c r="H52" s="35"/>
      <c r="I52" s="35"/>
      <c r="J52" s="12"/>
      <c r="K52" s="35"/>
      <c r="L52" s="3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2:24" ht="15.75" thickBot="1" x14ac:dyDescent="0.3">
      <c r="B53" s="4" t="s">
        <v>121</v>
      </c>
      <c r="C53" s="4" t="s">
        <v>54</v>
      </c>
      <c r="D53" s="4">
        <v>5</v>
      </c>
      <c r="E53" s="14" t="s">
        <v>37</v>
      </c>
      <c r="F53" s="39">
        <v>0.10199999999999999</v>
      </c>
      <c r="G53" s="4">
        <v>0.09</v>
      </c>
      <c r="H53" s="4">
        <v>0.11</v>
      </c>
      <c r="I53" s="4">
        <v>0.108</v>
      </c>
      <c r="J53" s="4">
        <v>0.17399999999999999</v>
      </c>
      <c r="K53" s="4">
        <v>1.5760000000000001</v>
      </c>
      <c r="L53" s="4">
        <v>1.857</v>
      </c>
    </row>
    <row r="54" spans="2:24" ht="15.75" thickBot="1" x14ac:dyDescent="0.3">
      <c r="B54" s="4" t="s">
        <v>122</v>
      </c>
      <c r="C54" s="4" t="s">
        <v>54</v>
      </c>
      <c r="D54" s="4">
        <v>5</v>
      </c>
      <c r="E54" s="14" t="s">
        <v>37</v>
      </c>
      <c r="F54" s="39">
        <v>0.52200000000000002</v>
      </c>
      <c r="G54" s="4">
        <v>0.72799999999999998</v>
      </c>
      <c r="H54" s="4">
        <v>0.44900000000000001</v>
      </c>
      <c r="I54" s="4">
        <v>0.45300000000000001</v>
      </c>
      <c r="J54" s="4">
        <v>1.0189999999999999</v>
      </c>
      <c r="K54" s="4">
        <v>1.4</v>
      </c>
      <c r="L54" s="4">
        <v>1.4</v>
      </c>
      <c r="N54" s="4"/>
      <c r="O54" s="4"/>
      <c r="P54" s="4"/>
      <c r="Q54" s="14"/>
      <c r="R54" s="4"/>
      <c r="S54" s="4"/>
      <c r="T54" s="4"/>
      <c r="U54" s="4"/>
      <c r="V54" s="4"/>
      <c r="W54" s="4"/>
      <c r="X54" s="4"/>
    </row>
    <row r="55" spans="2:24" ht="15.75" thickBot="1" x14ac:dyDescent="0.3">
      <c r="B55" s="4" t="s">
        <v>318</v>
      </c>
      <c r="C55" s="4" t="s">
        <v>54</v>
      </c>
      <c r="D55" s="4">
        <v>5</v>
      </c>
      <c r="E55" s="14" t="s">
        <v>37</v>
      </c>
      <c r="F55" s="4">
        <v>3.7999999999999999E-2</v>
      </c>
      <c r="G55" s="4">
        <v>4.5999999999999999E-2</v>
      </c>
      <c r="H55" s="4">
        <v>4.3999999999999997E-2</v>
      </c>
      <c r="I55" s="4">
        <v>4.2999999999999997E-2</v>
      </c>
      <c r="J55" s="4">
        <v>5.0999999999999997E-2</v>
      </c>
      <c r="K55" s="4">
        <v>0.40600000000000003</v>
      </c>
      <c r="L55" s="4">
        <v>0.59</v>
      </c>
      <c r="N55" s="4"/>
      <c r="O55" s="4"/>
      <c r="P55" s="4"/>
      <c r="Q55" s="14"/>
      <c r="R55" s="4"/>
      <c r="S55" s="4"/>
      <c r="T55" s="4"/>
      <c r="U55" s="4"/>
      <c r="V55" s="4"/>
      <c r="W55" s="4"/>
      <c r="X55" s="4"/>
    </row>
    <row r="56" spans="2:24" ht="15.75" thickBot="1" x14ac:dyDescent="0.3">
      <c r="B56" s="4" t="s">
        <v>89</v>
      </c>
      <c r="C56" s="4"/>
      <c r="D56" s="4"/>
      <c r="E56" s="14"/>
      <c r="F56" s="39">
        <v>5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4">
        <v>5</v>
      </c>
      <c r="N56" s="4"/>
      <c r="O56" s="4"/>
      <c r="P56" s="4"/>
      <c r="Q56" s="14"/>
      <c r="R56" s="4"/>
      <c r="S56" s="4"/>
      <c r="T56" s="4"/>
      <c r="U56" s="4"/>
      <c r="V56" s="4"/>
      <c r="W56" s="4"/>
      <c r="X56" s="4"/>
    </row>
    <row r="57" spans="2:24" ht="6" customHeight="1" thickBot="1" x14ac:dyDescent="0.3">
      <c r="B57" s="12"/>
      <c r="C57" s="12"/>
      <c r="D57" s="12"/>
      <c r="E57" s="22"/>
      <c r="F57" s="41"/>
      <c r="G57" s="12"/>
      <c r="H57" s="12"/>
      <c r="I57" s="12"/>
      <c r="J57" s="12"/>
      <c r="K57" s="12"/>
      <c r="L57" s="12"/>
      <c r="N57" s="12"/>
      <c r="O57" s="12"/>
      <c r="P57" s="12"/>
      <c r="Q57" s="22"/>
      <c r="R57" s="12"/>
      <c r="S57" s="12"/>
      <c r="T57" s="12"/>
      <c r="U57" s="12"/>
      <c r="V57" s="12"/>
      <c r="W57" s="12"/>
      <c r="X57" s="12"/>
    </row>
    <row r="58" spans="2:24" ht="15.75" thickBot="1" x14ac:dyDescent="0.3">
      <c r="B58" s="4" t="s">
        <v>123</v>
      </c>
      <c r="C58" s="4" t="s">
        <v>54</v>
      </c>
      <c r="D58" s="4" t="s">
        <v>67</v>
      </c>
      <c r="E58" s="4" t="s">
        <v>68</v>
      </c>
      <c r="F58" s="43">
        <v>1.53</v>
      </c>
      <c r="G58" s="29">
        <v>2.4700000000000002</v>
      </c>
      <c r="H58" s="29">
        <v>1.24</v>
      </c>
      <c r="I58" s="29">
        <v>1.3</v>
      </c>
      <c r="J58" s="29">
        <v>1.1100000000000001</v>
      </c>
      <c r="K58" s="4">
        <v>0.2</v>
      </c>
      <c r="L58" s="4">
        <v>0.47</v>
      </c>
    </row>
    <row r="59" spans="2:24" ht="15.75" thickBot="1" x14ac:dyDescent="0.3">
      <c r="B59" s="4" t="s">
        <v>124</v>
      </c>
      <c r="C59" s="4" t="s">
        <v>54</v>
      </c>
      <c r="D59" s="4" t="s">
        <v>67</v>
      </c>
      <c r="E59" s="4" t="s">
        <v>68</v>
      </c>
      <c r="F59" s="39">
        <v>0.84</v>
      </c>
      <c r="G59" s="4">
        <v>1.58</v>
      </c>
      <c r="H59" s="4">
        <v>1.08</v>
      </c>
      <c r="I59" s="4">
        <v>1.1100000000000001</v>
      </c>
      <c r="J59" s="4">
        <v>0.67</v>
      </c>
      <c r="K59" s="4">
        <v>0.33</v>
      </c>
      <c r="L59" s="4">
        <v>0.39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2:24" ht="15.75" thickBot="1" x14ac:dyDescent="0.3">
      <c r="B60" s="4" t="s">
        <v>319</v>
      </c>
      <c r="C60" s="4" t="s">
        <v>54</v>
      </c>
      <c r="D60" s="4" t="s">
        <v>67</v>
      </c>
      <c r="E60" s="4" t="s">
        <v>68</v>
      </c>
      <c r="F60" s="29">
        <v>3.71</v>
      </c>
      <c r="G60" s="29">
        <v>4.75</v>
      </c>
      <c r="H60" s="29">
        <v>4.07</v>
      </c>
      <c r="I60" s="29">
        <v>5.24</v>
      </c>
      <c r="J60" s="29">
        <v>3.01</v>
      </c>
      <c r="K60" s="4">
        <v>0.41</v>
      </c>
      <c r="L60" s="4">
        <v>0.78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2:24" ht="24.75" thickBot="1" x14ac:dyDescent="0.3">
      <c r="B61" s="4" t="s">
        <v>125</v>
      </c>
      <c r="C61" s="4"/>
      <c r="D61" s="4"/>
      <c r="E61" s="4"/>
      <c r="F61" s="39">
        <v>0.2</v>
      </c>
      <c r="G61" s="4">
        <v>0.2</v>
      </c>
      <c r="H61" s="4">
        <v>0.2</v>
      </c>
      <c r="I61" s="4">
        <v>0.2</v>
      </c>
      <c r="J61" s="4">
        <v>0.2</v>
      </c>
      <c r="K61" s="4">
        <v>0.2</v>
      </c>
      <c r="L61" s="4">
        <v>0.2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2:24" ht="24.75" thickBot="1" x14ac:dyDescent="0.3">
      <c r="B62" s="4" t="s">
        <v>126</v>
      </c>
      <c r="C62" s="4"/>
      <c r="D62" s="4"/>
      <c r="E62" s="4"/>
      <c r="F62" s="39">
        <v>0.5</v>
      </c>
      <c r="G62" s="4">
        <v>0.5</v>
      </c>
      <c r="H62" s="4">
        <v>0.5</v>
      </c>
      <c r="I62" s="4">
        <v>0.5</v>
      </c>
      <c r="J62" s="4">
        <v>0.5</v>
      </c>
      <c r="K62" s="4">
        <v>0.5</v>
      </c>
      <c r="L62" s="4">
        <v>0.5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2:24" ht="15.75" thickBot="1" x14ac:dyDescent="0.3">
      <c r="B63" s="12"/>
      <c r="C63" s="12"/>
      <c r="D63" s="12"/>
      <c r="E63" s="12"/>
      <c r="F63" s="44"/>
      <c r="G63" s="35"/>
      <c r="H63" s="35"/>
      <c r="I63" s="35"/>
      <c r="J63" s="35"/>
      <c r="K63" s="12"/>
      <c r="L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2:24" ht="24.75" thickBot="1" x14ac:dyDescent="0.3">
      <c r="B64" s="4" t="s">
        <v>127</v>
      </c>
      <c r="C64" s="4" t="s">
        <v>54</v>
      </c>
      <c r="D64" s="4" t="s">
        <v>69</v>
      </c>
      <c r="E64" s="4">
        <v>1</v>
      </c>
      <c r="F64" s="39">
        <v>1.2999999999999999E-2</v>
      </c>
      <c r="G64" s="4">
        <v>1.2E-2</v>
      </c>
      <c r="H64" s="4">
        <v>1.7999999999999999E-2</v>
      </c>
      <c r="I64" s="4">
        <v>1.4E-2</v>
      </c>
      <c r="J64" s="4">
        <v>5.0999999999999997E-2</v>
      </c>
      <c r="K64" s="4">
        <v>0.153</v>
      </c>
      <c r="L64" s="4">
        <v>1.6E-2</v>
      </c>
    </row>
    <row r="65" spans="2:24" ht="24.75" thickBot="1" x14ac:dyDescent="0.3">
      <c r="B65" s="4" t="s">
        <v>128</v>
      </c>
      <c r="C65" s="4" t="s">
        <v>54</v>
      </c>
      <c r="D65" s="4" t="s">
        <v>69</v>
      </c>
      <c r="E65" s="4">
        <v>1</v>
      </c>
      <c r="F65" s="39">
        <v>1.2999999999999999E-2</v>
      </c>
      <c r="G65" s="4">
        <v>3.7999999999999999E-2</v>
      </c>
      <c r="H65" s="4">
        <v>2.9000000000000001E-2</v>
      </c>
      <c r="I65" s="4">
        <v>0.03</v>
      </c>
      <c r="J65" s="4">
        <v>4.2000000000000003E-2</v>
      </c>
      <c r="K65" s="4">
        <v>1.4999999999999999E-2</v>
      </c>
      <c r="L65" s="4">
        <v>2.3E-2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2:24" ht="24.75" thickBot="1" x14ac:dyDescent="0.3">
      <c r="B66" s="4" t="s">
        <v>320</v>
      </c>
      <c r="C66" s="4" t="s">
        <v>54</v>
      </c>
      <c r="D66" s="4" t="s">
        <v>69</v>
      </c>
      <c r="E66" s="4">
        <v>1</v>
      </c>
      <c r="F66" s="4">
        <v>0.38</v>
      </c>
      <c r="G66" s="4">
        <v>0.155</v>
      </c>
      <c r="H66" s="4">
        <v>0.29599999999999999</v>
      </c>
      <c r="I66" s="4">
        <v>0.111</v>
      </c>
      <c r="J66" s="4">
        <v>7.8E-2</v>
      </c>
      <c r="K66" s="4">
        <v>0.14599999999999999</v>
      </c>
      <c r="L66" s="4">
        <v>0.11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24" ht="24.75" thickBot="1" x14ac:dyDescent="0.3">
      <c r="B67" s="4" t="s">
        <v>125</v>
      </c>
      <c r="C67" s="4"/>
      <c r="D67" s="4"/>
      <c r="E67" s="4"/>
      <c r="F67" s="39">
        <v>0.1</v>
      </c>
      <c r="G67" s="4">
        <v>0.1</v>
      </c>
      <c r="H67" s="4">
        <v>0.1</v>
      </c>
      <c r="I67" s="4">
        <v>0.1</v>
      </c>
      <c r="J67" s="4">
        <v>0.1</v>
      </c>
      <c r="K67" s="4">
        <v>0.1</v>
      </c>
      <c r="L67" s="4">
        <v>0.1</v>
      </c>
      <c r="M67" s="4">
        <v>0.1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2:24" ht="24.75" thickBot="1" x14ac:dyDescent="0.3">
      <c r="B68" s="4" t="s">
        <v>126</v>
      </c>
      <c r="C68" s="4"/>
      <c r="D68" s="4"/>
      <c r="E68" s="4"/>
      <c r="F68" s="39"/>
      <c r="G68" s="4"/>
      <c r="H68" s="4"/>
      <c r="I68" s="4"/>
      <c r="J68" s="4"/>
      <c r="K68" s="4"/>
      <c r="L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2:24" ht="15.75" thickBot="1" x14ac:dyDescent="0.3">
      <c r="B69" s="12"/>
      <c r="C69" s="12"/>
      <c r="D69" s="12"/>
      <c r="E69" s="12"/>
      <c r="F69" s="41"/>
      <c r="G69" s="12"/>
      <c r="H69" s="12"/>
      <c r="I69" s="12"/>
      <c r="J69" s="12"/>
      <c r="K69" s="12"/>
      <c r="L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2:24" ht="15.75" customHeight="1" thickBot="1" x14ac:dyDescent="0.3">
      <c r="B70" s="4" t="s">
        <v>130</v>
      </c>
      <c r="C70" s="4" t="s">
        <v>54</v>
      </c>
      <c r="D70" s="14" t="s">
        <v>37</v>
      </c>
      <c r="E70" s="14" t="s">
        <v>37</v>
      </c>
      <c r="F70" s="39">
        <v>165</v>
      </c>
      <c r="G70" s="4">
        <v>175</v>
      </c>
      <c r="H70" s="4">
        <v>110</v>
      </c>
      <c r="I70" s="4">
        <v>99</v>
      </c>
      <c r="J70" s="4">
        <v>125</v>
      </c>
      <c r="K70" s="4">
        <v>120</v>
      </c>
      <c r="L70" s="4">
        <v>140</v>
      </c>
    </row>
    <row r="71" spans="2:24" ht="15.75" customHeight="1" thickBot="1" x14ac:dyDescent="0.3">
      <c r="B71" s="4" t="s">
        <v>131</v>
      </c>
      <c r="C71" s="4" t="s">
        <v>54</v>
      </c>
      <c r="D71" s="14" t="s">
        <v>37</v>
      </c>
      <c r="E71" s="14" t="s">
        <v>37</v>
      </c>
      <c r="F71" s="4">
        <v>345</v>
      </c>
      <c r="G71" s="4">
        <v>370</v>
      </c>
      <c r="H71" s="4">
        <v>390</v>
      </c>
      <c r="I71" s="4">
        <v>410</v>
      </c>
      <c r="J71" s="4">
        <v>370</v>
      </c>
      <c r="K71" s="4">
        <v>240</v>
      </c>
      <c r="L71" s="4">
        <v>240</v>
      </c>
      <c r="N71" s="4"/>
      <c r="O71" s="4"/>
      <c r="P71" s="14"/>
      <c r="Q71" s="14"/>
      <c r="R71" s="4"/>
      <c r="S71" s="4"/>
      <c r="T71" s="4"/>
      <c r="U71" s="4"/>
      <c r="V71" s="4"/>
      <c r="W71" s="4"/>
      <c r="X71" s="4"/>
    </row>
    <row r="72" spans="2:24" ht="15.75" thickBot="1" x14ac:dyDescent="0.3">
      <c r="N72" s="4" t="s">
        <v>43</v>
      </c>
      <c r="O72" s="4" t="s">
        <v>54</v>
      </c>
      <c r="P72" s="14">
        <v>10</v>
      </c>
      <c r="Q72" s="14">
        <v>10</v>
      </c>
      <c r="R72" s="4">
        <v>11</v>
      </c>
      <c r="S72" s="4">
        <v>13</v>
      </c>
      <c r="T72" s="4">
        <v>9</v>
      </c>
      <c r="U72" s="4">
        <v>14</v>
      </c>
      <c r="V72" s="4">
        <v>20</v>
      </c>
      <c r="W72" s="4">
        <v>14</v>
      </c>
      <c r="X72" s="4">
        <v>30</v>
      </c>
    </row>
    <row r="73" spans="2:24" ht="15.6" customHeight="1" thickBot="1" x14ac:dyDescent="0.3">
      <c r="N73" s="4" t="s">
        <v>44</v>
      </c>
      <c r="O73" s="4" t="s">
        <v>54</v>
      </c>
      <c r="P73" s="14">
        <v>2</v>
      </c>
      <c r="Q73" s="14">
        <v>24</v>
      </c>
      <c r="R73" s="4">
        <v>0.13</v>
      </c>
      <c r="S73" s="4">
        <v>0.37</v>
      </c>
      <c r="T73" s="4">
        <v>0.12</v>
      </c>
      <c r="U73" s="4">
        <v>0.1</v>
      </c>
      <c r="V73" s="4">
        <v>0.13</v>
      </c>
      <c r="W73" s="4">
        <v>0.26</v>
      </c>
      <c r="X73" s="4">
        <v>0.27</v>
      </c>
    </row>
    <row r="74" spans="2:24" ht="15.6" customHeight="1" thickBot="1" x14ac:dyDescent="0.3">
      <c r="N74" s="4" t="s">
        <v>125</v>
      </c>
      <c r="O74" s="4" t="s">
        <v>54</v>
      </c>
      <c r="P74" s="36"/>
      <c r="Q74" s="14">
        <v>2</v>
      </c>
      <c r="R74" s="14">
        <v>2</v>
      </c>
      <c r="S74" s="14">
        <v>2</v>
      </c>
      <c r="T74" s="14">
        <v>2</v>
      </c>
      <c r="U74" s="14">
        <v>2</v>
      </c>
      <c r="V74" s="14">
        <v>2</v>
      </c>
      <c r="W74" s="14">
        <v>2</v>
      </c>
      <c r="X74" s="14">
        <v>2</v>
      </c>
    </row>
    <row r="75" spans="2:24" ht="15" customHeight="1" thickBot="1" x14ac:dyDescent="0.3">
      <c r="N75" s="4" t="s">
        <v>126</v>
      </c>
      <c r="O75" s="4" t="s">
        <v>54</v>
      </c>
      <c r="Q75" s="14">
        <v>24</v>
      </c>
      <c r="R75" s="14">
        <v>24</v>
      </c>
      <c r="S75" s="14">
        <v>24</v>
      </c>
      <c r="T75" s="14">
        <v>24</v>
      </c>
      <c r="U75" s="14">
        <v>24</v>
      </c>
      <c r="V75" s="14">
        <v>24</v>
      </c>
      <c r="W75" s="14">
        <v>24</v>
      </c>
      <c r="X75" s="14">
        <v>24</v>
      </c>
    </row>
    <row r="76" spans="2:24" ht="24.75" customHeight="1" x14ac:dyDescent="0.25">
      <c r="B76" s="387" t="s">
        <v>72</v>
      </c>
      <c r="C76" s="388"/>
      <c r="D76" s="388"/>
      <c r="E76" s="388"/>
      <c r="F76" s="388"/>
      <c r="G76" s="388"/>
      <c r="H76" s="388"/>
      <c r="I76" s="388"/>
      <c r="J76" s="388"/>
      <c r="K76" s="388"/>
      <c r="L76" s="388"/>
    </row>
    <row r="77" spans="2:24" ht="1.5" customHeight="1" thickBot="1" x14ac:dyDescent="0.3"/>
    <row r="78" spans="2:24" ht="24.75" customHeight="1" thickBot="1" x14ac:dyDescent="0.3">
      <c r="B78" s="381" t="s">
        <v>34</v>
      </c>
      <c r="C78" s="381" t="s">
        <v>35</v>
      </c>
      <c r="D78" s="383" t="s">
        <v>33</v>
      </c>
      <c r="E78" s="384"/>
      <c r="F78" s="478" t="s">
        <v>27</v>
      </c>
      <c r="G78" s="379" t="s">
        <v>28</v>
      </c>
      <c r="H78" s="379" t="s">
        <v>29</v>
      </c>
      <c r="I78" s="379" t="s">
        <v>30</v>
      </c>
      <c r="J78" s="379" t="s">
        <v>31</v>
      </c>
      <c r="K78" s="379" t="s">
        <v>25</v>
      </c>
      <c r="L78" s="379" t="s">
        <v>32</v>
      </c>
    </row>
    <row r="79" spans="2:24" ht="15.75" thickBot="1" x14ac:dyDescent="0.3">
      <c r="B79" s="382"/>
      <c r="C79" s="382"/>
      <c r="D79" s="19" t="s">
        <v>60</v>
      </c>
      <c r="E79" s="18" t="s">
        <v>61</v>
      </c>
      <c r="F79" s="479"/>
      <c r="G79" s="380"/>
      <c r="H79" s="380"/>
      <c r="I79" s="380"/>
      <c r="J79" s="380"/>
      <c r="K79" s="380"/>
      <c r="L79" s="380"/>
    </row>
    <row r="80" spans="2:24" ht="1.5" customHeight="1" thickBot="1" x14ac:dyDescent="0.3"/>
    <row r="81" spans="2:12" ht="24.75" thickBot="1" x14ac:dyDescent="0.3">
      <c r="B81" s="4" t="s">
        <v>57</v>
      </c>
      <c r="C81" s="15" t="s">
        <v>58</v>
      </c>
      <c r="D81" s="14" t="s">
        <v>37</v>
      </c>
      <c r="E81" s="14" t="s">
        <v>37</v>
      </c>
      <c r="F81" s="39"/>
      <c r="G81" s="4"/>
      <c r="H81" s="4"/>
      <c r="I81" s="4"/>
      <c r="J81" s="4"/>
      <c r="K81" s="4"/>
      <c r="L81" s="4"/>
    </row>
    <row r="82" spans="2:12" ht="24.75" thickBot="1" x14ac:dyDescent="0.3">
      <c r="B82" s="4" t="s">
        <v>55</v>
      </c>
      <c r="C82" s="15" t="s">
        <v>58</v>
      </c>
      <c r="D82" s="15" t="s">
        <v>59</v>
      </c>
      <c r="E82" s="4" t="s">
        <v>59</v>
      </c>
      <c r="F82" s="39"/>
      <c r="G82" s="4"/>
      <c r="H82" s="4"/>
      <c r="I82" s="4"/>
      <c r="J82" s="4"/>
      <c r="K82" s="4"/>
      <c r="L82" s="4"/>
    </row>
    <row r="83" spans="2:12" ht="23.25" thickBot="1" x14ac:dyDescent="0.3">
      <c r="B83" s="4" t="s">
        <v>56</v>
      </c>
      <c r="C83" s="15" t="s">
        <v>58</v>
      </c>
      <c r="D83" s="15" t="s">
        <v>59</v>
      </c>
      <c r="E83" s="14" t="s">
        <v>37</v>
      </c>
      <c r="F83" s="39"/>
      <c r="G83" s="4"/>
      <c r="H83" s="4"/>
      <c r="I83" s="4"/>
      <c r="J83" s="4"/>
      <c r="K83" s="4"/>
      <c r="L83" s="4"/>
    </row>
    <row r="85" spans="2:12" x14ac:dyDescent="0.25">
      <c r="B85" s="26">
        <v>1</v>
      </c>
      <c r="C85" s="26" t="s">
        <v>80</v>
      </c>
    </row>
    <row r="86" spans="2:12" x14ac:dyDescent="0.25">
      <c r="B86" s="26">
        <v>1000</v>
      </c>
      <c r="C86" s="26" t="s">
        <v>81</v>
      </c>
    </row>
  </sheetData>
  <mergeCells count="30">
    <mergeCell ref="B4:L4"/>
    <mergeCell ref="B6:B7"/>
    <mergeCell ref="C6:C7"/>
    <mergeCell ref="D6:E6"/>
    <mergeCell ref="F6:F7"/>
    <mergeCell ref="G6:G7"/>
    <mergeCell ref="H6:H7"/>
    <mergeCell ref="I6:I7"/>
    <mergeCell ref="J6:J7"/>
    <mergeCell ref="K6:K7"/>
    <mergeCell ref="N27:N28"/>
    <mergeCell ref="O27:O28"/>
    <mergeCell ref="P27:Q27"/>
    <mergeCell ref="L6:L7"/>
    <mergeCell ref="B25:L25"/>
    <mergeCell ref="N25:X25"/>
    <mergeCell ref="B27:B28"/>
    <mergeCell ref="C27:C28"/>
    <mergeCell ref="D27:E27"/>
    <mergeCell ref="L78:L79"/>
    <mergeCell ref="B76:L76"/>
    <mergeCell ref="B78:B79"/>
    <mergeCell ref="C78:C79"/>
    <mergeCell ref="D78:E78"/>
    <mergeCell ref="F78:F79"/>
    <mergeCell ref="G78:G79"/>
    <mergeCell ref="H78:H79"/>
    <mergeCell ref="I78:I79"/>
    <mergeCell ref="J78:J79"/>
    <mergeCell ref="K78:K79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T39"/>
  <sheetViews>
    <sheetView topLeftCell="A5" workbookViewId="0">
      <selection activeCell="O4" sqref="O4:T32"/>
    </sheetView>
  </sheetViews>
  <sheetFormatPr baseColWidth="10" defaultRowHeight="15" x14ac:dyDescent="0.25"/>
  <cols>
    <col min="9" max="9" width="26.85546875" customWidth="1"/>
    <col min="11" max="11" width="25.42578125" customWidth="1"/>
    <col min="12" max="12" width="15.140625" customWidth="1"/>
    <col min="13" max="13" width="27.42578125" customWidth="1"/>
    <col min="15" max="15" width="16.85546875" style="32" customWidth="1"/>
    <col min="16" max="16" width="11.42578125" style="32"/>
    <col min="17" max="17" width="15.28515625" style="32" customWidth="1"/>
    <col min="18" max="18" width="11.42578125" style="32"/>
    <col min="19" max="19" width="17.7109375" style="32" customWidth="1"/>
    <col min="20" max="20" width="11.42578125" style="32"/>
  </cols>
  <sheetData>
    <row r="3" spans="7:20" ht="15.75" thickBot="1" x14ac:dyDescent="0.3"/>
    <row r="4" spans="7:20" ht="51.75" customHeight="1" thickBot="1" x14ac:dyDescent="0.35">
      <c r="G4" s="484" t="s">
        <v>176</v>
      </c>
      <c r="H4" s="485"/>
      <c r="I4" s="486"/>
      <c r="K4" s="482" t="s">
        <v>177</v>
      </c>
      <c r="L4" s="482"/>
      <c r="M4" s="482"/>
      <c r="O4" s="483" t="s">
        <v>201</v>
      </c>
      <c r="P4" s="483"/>
      <c r="Q4" s="483"/>
      <c r="R4" s="483"/>
      <c r="S4" s="483"/>
      <c r="T4" s="483"/>
    </row>
    <row r="5" spans="7:20" x14ac:dyDescent="0.25">
      <c r="G5" s="480" t="s">
        <v>138</v>
      </c>
      <c r="H5" s="480" t="s">
        <v>139</v>
      </c>
      <c r="I5" s="480" t="s">
        <v>140</v>
      </c>
      <c r="K5" s="480" t="s">
        <v>138</v>
      </c>
      <c r="L5" s="480" t="s">
        <v>139</v>
      </c>
      <c r="M5" s="480" t="s">
        <v>140</v>
      </c>
    </row>
    <row r="6" spans="7:20" ht="16.5" thickBot="1" x14ac:dyDescent="0.3">
      <c r="G6" s="481"/>
      <c r="H6" s="481"/>
      <c r="I6" s="481"/>
      <c r="K6" s="481"/>
      <c r="L6" s="481"/>
      <c r="M6" s="481"/>
      <c r="O6" s="64" t="s">
        <v>202</v>
      </c>
      <c r="P6" s="64" t="s">
        <v>23</v>
      </c>
      <c r="Q6" s="64" t="s">
        <v>203</v>
      </c>
      <c r="R6" s="64" t="s">
        <v>23</v>
      </c>
      <c r="S6" s="64" t="s">
        <v>204</v>
      </c>
      <c r="T6" s="64" t="s">
        <v>23</v>
      </c>
    </row>
    <row r="7" spans="7:20" x14ac:dyDescent="0.25">
      <c r="G7" s="58" t="s">
        <v>141</v>
      </c>
      <c r="H7" s="57">
        <v>1.2</v>
      </c>
      <c r="I7" s="59" t="s">
        <v>142</v>
      </c>
      <c r="K7" s="56" t="s">
        <v>178</v>
      </c>
      <c r="L7" s="57">
        <v>1.6</v>
      </c>
      <c r="M7" s="57" t="s">
        <v>142</v>
      </c>
      <c r="O7" s="63" t="s">
        <v>205</v>
      </c>
      <c r="P7" s="63" t="s">
        <v>206</v>
      </c>
      <c r="Q7" s="63" t="s">
        <v>207</v>
      </c>
      <c r="R7" s="63" t="s">
        <v>208</v>
      </c>
      <c r="S7" s="63" t="s">
        <v>147</v>
      </c>
      <c r="T7" s="63" t="s">
        <v>209</v>
      </c>
    </row>
    <row r="8" spans="7:20" ht="28.5" x14ac:dyDescent="0.25">
      <c r="G8" s="58" t="s">
        <v>143</v>
      </c>
      <c r="H8" s="57">
        <v>1.2</v>
      </c>
      <c r="I8" s="59" t="s">
        <v>142</v>
      </c>
      <c r="K8" s="56" t="s">
        <v>179</v>
      </c>
      <c r="L8" s="57">
        <v>1.6</v>
      </c>
      <c r="M8" s="57" t="s">
        <v>142</v>
      </c>
      <c r="O8" s="63" t="s">
        <v>149</v>
      </c>
      <c r="P8" s="63" t="s">
        <v>210</v>
      </c>
      <c r="Q8" s="63" t="s">
        <v>180</v>
      </c>
      <c r="R8" s="63" t="s">
        <v>208</v>
      </c>
      <c r="S8" s="63" t="s">
        <v>172</v>
      </c>
      <c r="T8" s="63" t="s">
        <v>211</v>
      </c>
    </row>
    <row r="9" spans="7:20" x14ac:dyDescent="0.25">
      <c r="G9" s="58" t="s">
        <v>144</v>
      </c>
      <c r="H9" s="57">
        <v>1.5</v>
      </c>
      <c r="I9" s="59" t="s">
        <v>142</v>
      </c>
      <c r="K9" s="56" t="s">
        <v>180</v>
      </c>
      <c r="L9" s="57">
        <v>1.5</v>
      </c>
      <c r="M9" s="57" t="s">
        <v>142</v>
      </c>
      <c r="O9" s="63" t="s">
        <v>151</v>
      </c>
      <c r="P9" s="63" t="s">
        <v>212</v>
      </c>
      <c r="Q9" s="63" t="s">
        <v>213</v>
      </c>
      <c r="R9" s="63" t="s">
        <v>214</v>
      </c>
      <c r="S9" s="63" t="s">
        <v>215</v>
      </c>
      <c r="T9" s="63" t="s">
        <v>214</v>
      </c>
    </row>
    <row r="10" spans="7:20" x14ac:dyDescent="0.25">
      <c r="G10" s="58" t="s">
        <v>145</v>
      </c>
      <c r="H10" s="57">
        <v>1</v>
      </c>
      <c r="I10" s="59" t="s">
        <v>142</v>
      </c>
      <c r="K10" s="56" t="s">
        <v>181</v>
      </c>
      <c r="L10" s="57">
        <v>1.5</v>
      </c>
      <c r="M10" s="57" t="s">
        <v>142</v>
      </c>
      <c r="O10" s="63" t="s">
        <v>216</v>
      </c>
      <c r="P10" s="63" t="s">
        <v>217</v>
      </c>
      <c r="Q10" s="63" t="s">
        <v>218</v>
      </c>
      <c r="R10" s="63" t="s">
        <v>219</v>
      </c>
      <c r="S10" s="63" t="s">
        <v>220</v>
      </c>
      <c r="T10" s="63" t="s">
        <v>219</v>
      </c>
    </row>
    <row r="11" spans="7:20" x14ac:dyDescent="0.25">
      <c r="G11" s="58" t="s">
        <v>146</v>
      </c>
      <c r="H11" s="57">
        <v>1</v>
      </c>
      <c r="I11" s="59" t="s">
        <v>142</v>
      </c>
      <c r="K11" s="56" t="s">
        <v>182</v>
      </c>
      <c r="L11" s="57">
        <v>1.5</v>
      </c>
      <c r="M11" s="57" t="s">
        <v>142</v>
      </c>
      <c r="O11" s="63" t="s">
        <v>221</v>
      </c>
      <c r="P11" s="63" t="s">
        <v>222</v>
      </c>
      <c r="Q11" s="63" t="s">
        <v>223</v>
      </c>
      <c r="R11" s="63" t="s">
        <v>224</v>
      </c>
      <c r="S11" s="63" t="s">
        <v>225</v>
      </c>
      <c r="T11" s="63" t="s">
        <v>224</v>
      </c>
    </row>
    <row r="12" spans="7:20" x14ac:dyDescent="0.25">
      <c r="G12" s="58" t="s">
        <v>147</v>
      </c>
      <c r="H12" s="57">
        <v>2</v>
      </c>
      <c r="I12" s="59" t="s">
        <v>148</v>
      </c>
      <c r="K12" s="56" t="s">
        <v>183</v>
      </c>
      <c r="L12" s="57">
        <v>1.7</v>
      </c>
      <c r="M12" s="57" t="s">
        <v>142</v>
      </c>
      <c r="O12" s="63" t="s">
        <v>153</v>
      </c>
      <c r="P12" s="63" t="s">
        <v>226</v>
      </c>
      <c r="Q12" s="63" t="s">
        <v>227</v>
      </c>
      <c r="R12" s="63" t="s">
        <v>228</v>
      </c>
      <c r="S12" s="63" t="s">
        <v>150</v>
      </c>
      <c r="T12" s="63" t="s">
        <v>229</v>
      </c>
    </row>
    <row r="13" spans="7:20" x14ac:dyDescent="0.25">
      <c r="G13" s="58" t="s">
        <v>149</v>
      </c>
      <c r="H13" s="57">
        <v>1.8</v>
      </c>
      <c r="I13" s="59" t="s">
        <v>148</v>
      </c>
      <c r="K13" s="56" t="s">
        <v>184</v>
      </c>
      <c r="L13" s="57">
        <v>1.7</v>
      </c>
      <c r="M13" s="57" t="s">
        <v>142</v>
      </c>
      <c r="O13" s="63" t="s">
        <v>141</v>
      </c>
      <c r="P13" s="63" t="s">
        <v>222</v>
      </c>
      <c r="Q13" s="63" t="s">
        <v>230</v>
      </c>
      <c r="R13" s="63" t="s">
        <v>214</v>
      </c>
      <c r="S13" s="63" t="s">
        <v>231</v>
      </c>
      <c r="T13" s="63" t="s">
        <v>232</v>
      </c>
    </row>
    <row r="14" spans="7:20" x14ac:dyDescent="0.25">
      <c r="G14" s="58" t="s">
        <v>150</v>
      </c>
      <c r="H14" s="57">
        <v>1.7</v>
      </c>
      <c r="I14" s="59" t="s">
        <v>148</v>
      </c>
      <c r="K14" s="56" t="s">
        <v>185</v>
      </c>
      <c r="L14" s="57">
        <v>1.5</v>
      </c>
      <c r="M14" s="57" t="s">
        <v>142</v>
      </c>
      <c r="O14" s="63" t="s">
        <v>233</v>
      </c>
      <c r="P14" s="63" t="s">
        <v>206</v>
      </c>
      <c r="Q14" s="63" t="s">
        <v>194</v>
      </c>
      <c r="R14" s="63" t="s">
        <v>206</v>
      </c>
      <c r="S14" s="63" t="s">
        <v>234</v>
      </c>
      <c r="T14" s="63" t="s">
        <v>232</v>
      </c>
    </row>
    <row r="15" spans="7:20" ht="30" x14ac:dyDescent="0.25">
      <c r="G15" s="58" t="s">
        <v>151</v>
      </c>
      <c r="H15" s="57">
        <v>1.1000000000000001</v>
      </c>
      <c r="I15" s="59" t="s">
        <v>148</v>
      </c>
      <c r="K15" s="56" t="s">
        <v>186</v>
      </c>
      <c r="L15" s="57">
        <v>1.5</v>
      </c>
      <c r="M15" s="57" t="s">
        <v>142</v>
      </c>
      <c r="O15" s="63" t="s">
        <v>235</v>
      </c>
      <c r="P15" s="63" t="s">
        <v>236</v>
      </c>
      <c r="Q15" s="63" t="s">
        <v>185</v>
      </c>
      <c r="R15" s="63" t="s">
        <v>237</v>
      </c>
      <c r="S15" s="63" t="s">
        <v>238</v>
      </c>
      <c r="T15" s="63" t="s">
        <v>239</v>
      </c>
    </row>
    <row r="16" spans="7:20" ht="28.5" x14ac:dyDescent="0.25">
      <c r="G16" s="58" t="s">
        <v>152</v>
      </c>
      <c r="H16" s="57">
        <v>2.8</v>
      </c>
      <c r="I16" s="59" t="s">
        <v>148</v>
      </c>
      <c r="K16" s="56" t="s">
        <v>187</v>
      </c>
      <c r="L16" s="57">
        <v>1.21</v>
      </c>
      <c r="M16" s="57" t="s">
        <v>142</v>
      </c>
      <c r="O16" s="63" t="s">
        <v>154</v>
      </c>
      <c r="P16" s="63" t="s">
        <v>222</v>
      </c>
      <c r="Q16" s="63" t="s">
        <v>188</v>
      </c>
      <c r="R16" s="63" t="s">
        <v>240</v>
      </c>
      <c r="S16" s="63" t="s">
        <v>241</v>
      </c>
      <c r="T16" s="63" t="s">
        <v>242</v>
      </c>
    </row>
    <row r="17" spans="7:20" x14ac:dyDescent="0.25">
      <c r="G17" s="58" t="s">
        <v>153</v>
      </c>
      <c r="H17" s="57">
        <v>1.2</v>
      </c>
      <c r="I17" s="59" t="s">
        <v>148</v>
      </c>
      <c r="K17" s="56" t="s">
        <v>188</v>
      </c>
      <c r="L17" s="57">
        <v>1.7</v>
      </c>
      <c r="M17" s="57" t="s">
        <v>142</v>
      </c>
      <c r="O17" s="63" t="s">
        <v>243</v>
      </c>
      <c r="P17" s="63" t="s">
        <v>226</v>
      </c>
      <c r="Q17" s="63" t="s">
        <v>244</v>
      </c>
      <c r="R17" s="63" t="s">
        <v>245</v>
      </c>
      <c r="S17" s="63" t="s">
        <v>174</v>
      </c>
      <c r="T17" s="63" t="s">
        <v>246</v>
      </c>
    </row>
    <row r="18" spans="7:20" x14ac:dyDescent="0.25">
      <c r="G18" s="58" t="s">
        <v>154</v>
      </c>
      <c r="H18" s="57">
        <v>1.8</v>
      </c>
      <c r="I18" s="59" t="s">
        <v>148</v>
      </c>
      <c r="K18" s="56" t="s">
        <v>189</v>
      </c>
      <c r="L18" s="57">
        <v>1.7</v>
      </c>
      <c r="M18" s="57" t="s">
        <v>142</v>
      </c>
      <c r="O18" s="63" t="s">
        <v>247</v>
      </c>
      <c r="P18" s="63" t="s">
        <v>248</v>
      </c>
      <c r="Q18" s="63" t="s">
        <v>189</v>
      </c>
      <c r="R18" s="63" t="s">
        <v>206</v>
      </c>
      <c r="S18" s="63" t="s">
        <v>249</v>
      </c>
      <c r="T18" s="63" t="s">
        <v>240</v>
      </c>
    </row>
    <row r="19" spans="7:20" x14ac:dyDescent="0.25">
      <c r="G19" s="58" t="s">
        <v>155</v>
      </c>
      <c r="H19" s="57">
        <v>2</v>
      </c>
      <c r="I19" s="59" t="s">
        <v>148</v>
      </c>
      <c r="K19" s="56" t="s">
        <v>190</v>
      </c>
      <c r="L19" s="57">
        <v>1.6</v>
      </c>
      <c r="M19" s="57" t="s">
        <v>142</v>
      </c>
      <c r="O19" s="63" t="s">
        <v>155</v>
      </c>
      <c r="P19" s="63" t="s">
        <v>250</v>
      </c>
      <c r="Q19" s="63" t="s">
        <v>251</v>
      </c>
      <c r="R19" s="63" t="s">
        <v>252</v>
      </c>
      <c r="S19" s="63" t="s">
        <v>253</v>
      </c>
      <c r="T19" s="63" t="s">
        <v>254</v>
      </c>
    </row>
    <row r="20" spans="7:20" x14ac:dyDescent="0.25">
      <c r="G20" s="58" t="s">
        <v>156</v>
      </c>
      <c r="H20" s="57">
        <v>1.7</v>
      </c>
      <c r="I20" s="59" t="s">
        <v>148</v>
      </c>
      <c r="K20" s="56" t="s">
        <v>191</v>
      </c>
      <c r="L20" s="57">
        <v>1.5</v>
      </c>
      <c r="M20" s="57" t="s">
        <v>142</v>
      </c>
      <c r="O20" s="63" t="s">
        <v>255</v>
      </c>
      <c r="P20" s="63" t="s">
        <v>211</v>
      </c>
      <c r="Q20" s="63" t="s">
        <v>198</v>
      </c>
      <c r="R20" s="63" t="s">
        <v>239</v>
      </c>
      <c r="S20" s="63" t="s">
        <v>256</v>
      </c>
      <c r="T20" s="63" t="s">
        <v>257</v>
      </c>
    </row>
    <row r="21" spans="7:20" ht="21" customHeight="1" x14ac:dyDescent="0.25">
      <c r="G21" s="58" t="s">
        <v>157</v>
      </c>
      <c r="H21" s="57">
        <v>1.6</v>
      </c>
      <c r="I21" s="59" t="s">
        <v>148</v>
      </c>
      <c r="K21" s="56" t="s">
        <v>200</v>
      </c>
      <c r="L21" s="57">
        <v>1.7</v>
      </c>
      <c r="M21" s="57" t="s">
        <v>142</v>
      </c>
      <c r="O21" s="63" t="s">
        <v>258</v>
      </c>
      <c r="P21" s="63" t="s">
        <v>259</v>
      </c>
      <c r="Q21" s="63" t="s">
        <v>191</v>
      </c>
      <c r="R21" s="63" t="s">
        <v>257</v>
      </c>
      <c r="S21" s="63" t="s">
        <v>156</v>
      </c>
      <c r="T21" s="63" t="s">
        <v>222</v>
      </c>
    </row>
    <row r="22" spans="7:20" ht="28.5" x14ac:dyDescent="0.25">
      <c r="G22" s="58" t="s">
        <v>158</v>
      </c>
      <c r="H22" s="57">
        <v>1.25</v>
      </c>
      <c r="I22" s="59" t="s">
        <v>148</v>
      </c>
      <c r="K22" s="56" t="s">
        <v>193</v>
      </c>
      <c r="L22" s="57">
        <v>1.92</v>
      </c>
      <c r="M22" s="57" t="s">
        <v>148</v>
      </c>
      <c r="O22" s="63" t="s">
        <v>260</v>
      </c>
      <c r="P22" s="63" t="s">
        <v>261</v>
      </c>
      <c r="Q22" s="63" t="s">
        <v>262</v>
      </c>
      <c r="R22" s="63" t="s">
        <v>263</v>
      </c>
      <c r="S22" s="63" t="s">
        <v>264</v>
      </c>
      <c r="T22" s="63" t="s">
        <v>265</v>
      </c>
    </row>
    <row r="23" spans="7:20" x14ac:dyDescent="0.25">
      <c r="G23" s="58" t="s">
        <v>159</v>
      </c>
      <c r="H23" s="57">
        <v>1.7</v>
      </c>
      <c r="I23" s="59" t="s">
        <v>148</v>
      </c>
      <c r="K23" s="56" t="s">
        <v>194</v>
      </c>
      <c r="L23" s="57">
        <v>1.5</v>
      </c>
      <c r="M23" s="57" t="s">
        <v>148</v>
      </c>
      <c r="O23" s="63" t="s">
        <v>266</v>
      </c>
      <c r="P23" s="63" t="s">
        <v>267</v>
      </c>
      <c r="Q23" s="63" t="s">
        <v>268</v>
      </c>
      <c r="R23" s="63" t="s">
        <v>206</v>
      </c>
      <c r="S23" s="63" t="s">
        <v>269</v>
      </c>
      <c r="T23" s="63" t="s">
        <v>219</v>
      </c>
    </row>
    <row r="24" spans="7:20" x14ac:dyDescent="0.25">
      <c r="G24" s="58" t="s">
        <v>160</v>
      </c>
      <c r="H24" s="57">
        <v>1.7</v>
      </c>
      <c r="I24" s="59" t="s">
        <v>148</v>
      </c>
      <c r="K24" s="56" t="s">
        <v>195</v>
      </c>
      <c r="L24" s="57">
        <v>1.5</v>
      </c>
      <c r="M24" s="57" t="s">
        <v>148</v>
      </c>
      <c r="O24" s="63" t="s">
        <v>160</v>
      </c>
      <c r="P24" s="63" t="s">
        <v>226</v>
      </c>
      <c r="Q24" s="63" t="s">
        <v>192</v>
      </c>
      <c r="R24" s="63" t="s">
        <v>206</v>
      </c>
      <c r="S24" s="63" t="s">
        <v>159</v>
      </c>
      <c r="T24" s="63" t="s">
        <v>270</v>
      </c>
    </row>
    <row r="25" spans="7:20" x14ac:dyDescent="0.25">
      <c r="G25" s="58" t="s">
        <v>161</v>
      </c>
      <c r="H25" s="57">
        <v>1.7</v>
      </c>
      <c r="I25" s="59" t="s">
        <v>148</v>
      </c>
      <c r="K25" s="56" t="s">
        <v>196</v>
      </c>
      <c r="L25" s="57">
        <v>5</v>
      </c>
      <c r="M25" s="57" t="s">
        <v>148</v>
      </c>
      <c r="O25" s="63" t="s">
        <v>162</v>
      </c>
      <c r="P25" s="63" t="s">
        <v>236</v>
      </c>
      <c r="Q25" s="63" t="s">
        <v>271</v>
      </c>
      <c r="R25" s="63" t="s">
        <v>237</v>
      </c>
      <c r="S25" s="63" t="s">
        <v>272</v>
      </c>
      <c r="T25" s="63" t="s">
        <v>270</v>
      </c>
    </row>
    <row r="26" spans="7:20" x14ac:dyDescent="0.25">
      <c r="G26" s="58" t="s">
        <v>162</v>
      </c>
      <c r="H26" s="57">
        <v>1.7</v>
      </c>
      <c r="I26" s="59" t="s">
        <v>148</v>
      </c>
      <c r="K26" s="56" t="s">
        <v>197</v>
      </c>
      <c r="L26" s="57">
        <v>4.2</v>
      </c>
      <c r="M26" s="57" t="s">
        <v>148</v>
      </c>
      <c r="O26" s="63" t="s">
        <v>273</v>
      </c>
      <c r="P26" s="63" t="s">
        <v>274</v>
      </c>
      <c r="Q26" s="63"/>
      <c r="R26" s="63"/>
      <c r="S26" s="63" t="s">
        <v>275</v>
      </c>
      <c r="T26" s="63" t="s">
        <v>276</v>
      </c>
    </row>
    <row r="27" spans="7:20" x14ac:dyDescent="0.25">
      <c r="G27" s="58" t="s">
        <v>163</v>
      </c>
      <c r="H27" s="57">
        <v>1.7</v>
      </c>
      <c r="I27" s="59" t="s">
        <v>148</v>
      </c>
      <c r="K27" s="56" t="s">
        <v>198</v>
      </c>
      <c r="L27" s="57">
        <v>5</v>
      </c>
      <c r="M27" s="57" t="s">
        <v>148</v>
      </c>
      <c r="O27" s="63" t="s">
        <v>164</v>
      </c>
      <c r="P27" s="63" t="s">
        <v>236</v>
      </c>
      <c r="Q27" s="63"/>
      <c r="R27" s="63"/>
      <c r="S27" s="63" t="s">
        <v>277</v>
      </c>
      <c r="T27" s="63" t="s">
        <v>278</v>
      </c>
    </row>
    <row r="28" spans="7:20" x14ac:dyDescent="0.25">
      <c r="G28" s="58" t="s">
        <v>164</v>
      </c>
      <c r="H28" s="57">
        <v>2</v>
      </c>
      <c r="I28" s="59" t="s">
        <v>148</v>
      </c>
      <c r="K28" s="56" t="s">
        <v>199</v>
      </c>
      <c r="L28" s="57">
        <v>4</v>
      </c>
      <c r="M28" s="57" t="s">
        <v>173</v>
      </c>
      <c r="O28" s="63" t="s">
        <v>165</v>
      </c>
      <c r="P28" s="63" t="s">
        <v>279</v>
      </c>
      <c r="Q28" s="63"/>
      <c r="R28" s="63"/>
      <c r="S28" s="63" t="s">
        <v>280</v>
      </c>
      <c r="T28" s="63" t="s">
        <v>281</v>
      </c>
    </row>
    <row r="29" spans="7:20" x14ac:dyDescent="0.25">
      <c r="G29" s="58" t="s">
        <v>165</v>
      </c>
      <c r="H29" s="57">
        <v>1.5</v>
      </c>
      <c r="I29" s="59" t="s">
        <v>148</v>
      </c>
      <c r="O29" s="63" t="s">
        <v>166</v>
      </c>
      <c r="P29" s="63" t="s">
        <v>210</v>
      </c>
      <c r="Q29" s="63"/>
      <c r="R29" s="63"/>
      <c r="S29" s="63" t="s">
        <v>282</v>
      </c>
      <c r="T29" s="63" t="s">
        <v>283</v>
      </c>
    </row>
    <row r="30" spans="7:20" x14ac:dyDescent="0.25">
      <c r="G30" s="58" t="s">
        <v>166</v>
      </c>
      <c r="H30" s="57">
        <v>1.2</v>
      </c>
      <c r="I30" s="59" t="s">
        <v>148</v>
      </c>
      <c r="O30" s="63" t="s">
        <v>284</v>
      </c>
      <c r="P30" s="63" t="s">
        <v>285</v>
      </c>
      <c r="Q30" s="63"/>
      <c r="R30" s="63"/>
      <c r="S30" s="63" t="s">
        <v>286</v>
      </c>
      <c r="T30" s="63" t="s">
        <v>287</v>
      </c>
    </row>
    <row r="31" spans="7:20" x14ac:dyDescent="0.25">
      <c r="G31" s="58" t="s">
        <v>167</v>
      </c>
      <c r="H31" s="57">
        <v>0.9</v>
      </c>
      <c r="I31" s="59" t="s">
        <v>148</v>
      </c>
      <c r="O31" s="63" t="s">
        <v>168</v>
      </c>
      <c r="P31" s="63" t="s">
        <v>267</v>
      </c>
      <c r="Q31" s="63"/>
      <c r="R31" s="63"/>
      <c r="S31" s="63" t="s">
        <v>288</v>
      </c>
      <c r="T31" s="63" t="s">
        <v>289</v>
      </c>
    </row>
    <row r="32" spans="7:20" x14ac:dyDescent="0.25">
      <c r="G32" s="58" t="s">
        <v>168</v>
      </c>
      <c r="H32" s="57">
        <v>2</v>
      </c>
      <c r="I32" s="59" t="s">
        <v>148</v>
      </c>
      <c r="O32" s="63" t="s">
        <v>146</v>
      </c>
      <c r="P32" s="63" t="s">
        <v>290</v>
      </c>
      <c r="Q32" s="63"/>
      <c r="R32" s="63"/>
      <c r="S32" s="63" t="s">
        <v>291</v>
      </c>
      <c r="T32" s="63" t="s">
        <v>292</v>
      </c>
    </row>
    <row r="33" spans="7:9" x14ac:dyDescent="0.25">
      <c r="G33" s="58" t="s">
        <v>169</v>
      </c>
      <c r="H33" s="57">
        <v>6.1</v>
      </c>
      <c r="I33" s="59" t="s">
        <v>148</v>
      </c>
    </row>
    <row r="34" spans="7:9" ht="28.5" x14ac:dyDescent="0.25">
      <c r="G34" s="58" t="s">
        <v>170</v>
      </c>
      <c r="H34" s="57">
        <v>6.8</v>
      </c>
      <c r="I34" s="59" t="s">
        <v>148</v>
      </c>
    </row>
    <row r="35" spans="7:9" x14ac:dyDescent="0.25">
      <c r="G35" s="58" t="s">
        <v>171</v>
      </c>
      <c r="H35" s="57">
        <v>6</v>
      </c>
      <c r="I35" s="59" t="s">
        <v>148</v>
      </c>
    </row>
    <row r="36" spans="7:9" x14ac:dyDescent="0.25">
      <c r="G36" s="58" t="s">
        <v>172</v>
      </c>
      <c r="H36" s="57">
        <v>7.7</v>
      </c>
      <c r="I36" s="59" t="s">
        <v>173</v>
      </c>
    </row>
    <row r="37" spans="7:9" x14ac:dyDescent="0.25">
      <c r="G37" s="58" t="s">
        <v>174</v>
      </c>
      <c r="H37" s="57">
        <v>8</v>
      </c>
      <c r="I37" s="59" t="s">
        <v>173</v>
      </c>
    </row>
    <row r="38" spans="7:9" ht="28.5" x14ac:dyDescent="0.25">
      <c r="G38" s="58" t="s">
        <v>175</v>
      </c>
      <c r="H38" s="57">
        <v>7</v>
      </c>
      <c r="I38" s="59" t="s">
        <v>173</v>
      </c>
    </row>
    <row r="39" spans="7:9" ht="15.75" thickBot="1" x14ac:dyDescent="0.3">
      <c r="G39" s="60"/>
      <c r="H39" s="61"/>
      <c r="I39" s="62"/>
    </row>
  </sheetData>
  <mergeCells count="9">
    <mergeCell ref="M5:M6"/>
    <mergeCell ref="K4:M4"/>
    <mergeCell ref="O4:T4"/>
    <mergeCell ref="G5:G6"/>
    <mergeCell ref="H5:H6"/>
    <mergeCell ref="I5:I6"/>
    <mergeCell ref="G4:I4"/>
    <mergeCell ref="K5:K6"/>
    <mergeCell ref="L5:L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zoomScaleNormal="50" workbookViewId="0">
      <selection activeCell="S93" sqref="S9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78"/>
  <sheetViews>
    <sheetView showGridLines="0" topLeftCell="A160" zoomScale="90" zoomScaleNormal="90" workbookViewId="0">
      <selection activeCell="H179" sqref="H179"/>
    </sheetView>
  </sheetViews>
  <sheetFormatPr baseColWidth="10" defaultColWidth="11.42578125" defaultRowHeight="15" x14ac:dyDescent="0.25"/>
  <cols>
    <col min="1" max="1" width="11.42578125" style="51"/>
    <col min="2" max="2" width="32.85546875" style="51" bestFit="1" customWidth="1"/>
    <col min="3" max="3" width="17.7109375" style="51" customWidth="1"/>
    <col min="4" max="4" width="18" style="51" customWidth="1"/>
    <col min="5" max="5" width="11.42578125" style="51" customWidth="1"/>
    <col min="6" max="11" width="11.42578125" style="51"/>
    <col min="12" max="12" width="10.42578125" style="51" customWidth="1"/>
    <col min="13" max="14" width="11.42578125" style="51"/>
    <col min="15" max="15" width="11.85546875" style="51" bestFit="1" customWidth="1"/>
    <col min="16" max="16384" width="11.42578125" style="51"/>
  </cols>
  <sheetData>
    <row r="2" spans="2:15" ht="15.75" thickBot="1" x14ac:dyDescent="0.3"/>
    <row r="3" spans="2:15" ht="16.5" thickBot="1" x14ac:dyDescent="0.3">
      <c r="B3" s="489" t="s">
        <v>345</v>
      </c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1"/>
    </row>
    <row r="4" spans="2:15" ht="15.75" thickBot="1" x14ac:dyDescent="0.3">
      <c r="B4" s="487" t="s">
        <v>346</v>
      </c>
      <c r="C4" s="497" t="s">
        <v>33</v>
      </c>
      <c r="D4" s="498"/>
      <c r="E4" s="237" t="s">
        <v>337</v>
      </c>
      <c r="F4" s="237" t="s">
        <v>84</v>
      </c>
      <c r="G4" s="237" t="s">
        <v>338</v>
      </c>
      <c r="H4" s="237" t="s">
        <v>339</v>
      </c>
      <c r="I4" s="237" t="s">
        <v>340</v>
      </c>
      <c r="J4" s="237" t="s">
        <v>341</v>
      </c>
      <c r="K4" s="237" t="s">
        <v>342</v>
      </c>
      <c r="L4" s="237" t="s">
        <v>343</v>
      </c>
      <c r="M4" s="237" t="s">
        <v>344</v>
      </c>
      <c r="N4" s="237" t="s">
        <v>355</v>
      </c>
    </row>
    <row r="5" spans="2:15" ht="15.75" thickBot="1" x14ac:dyDescent="0.3">
      <c r="B5" s="488"/>
      <c r="C5" s="238" t="s">
        <v>298</v>
      </c>
      <c r="D5" s="239" t="s">
        <v>297</v>
      </c>
      <c r="E5" s="240" t="s">
        <v>53</v>
      </c>
      <c r="F5" s="240" t="s">
        <v>53</v>
      </c>
      <c r="G5" s="240" t="s">
        <v>53</v>
      </c>
      <c r="H5" s="240" t="s">
        <v>53</v>
      </c>
      <c r="I5" s="240" t="s">
        <v>53</v>
      </c>
      <c r="J5" s="240" t="s">
        <v>53</v>
      </c>
      <c r="K5" s="240" t="s">
        <v>53</v>
      </c>
      <c r="L5" s="240" t="s">
        <v>53</v>
      </c>
      <c r="M5" s="240" t="s">
        <v>53</v>
      </c>
      <c r="N5" s="241" t="s">
        <v>53</v>
      </c>
    </row>
    <row r="6" spans="2:15" x14ac:dyDescent="0.25">
      <c r="B6" s="234" t="s">
        <v>27</v>
      </c>
      <c r="C6" s="499" t="s">
        <v>350</v>
      </c>
      <c r="D6" s="502" t="s">
        <v>350</v>
      </c>
      <c r="E6" s="242">
        <v>61.9</v>
      </c>
      <c r="F6" s="242">
        <v>8.4499999999999993</v>
      </c>
      <c r="G6" s="242">
        <v>13.1</v>
      </c>
      <c r="H6" s="242">
        <v>17.3</v>
      </c>
      <c r="I6" s="242">
        <v>16.600000000000001</v>
      </c>
      <c r="J6" s="242">
        <v>11.5</v>
      </c>
      <c r="K6" s="242">
        <v>17.100000000000001</v>
      </c>
      <c r="L6" s="242">
        <v>18.04</v>
      </c>
      <c r="M6" s="242">
        <v>11.3</v>
      </c>
      <c r="N6" s="243">
        <v>16.899999999999999</v>
      </c>
      <c r="O6" s="231">
        <f>MAX(E6:N12)</f>
        <v>559</v>
      </c>
    </row>
    <row r="7" spans="2:15" x14ac:dyDescent="0.25">
      <c r="B7" s="235" t="s">
        <v>28</v>
      </c>
      <c r="C7" s="500"/>
      <c r="D7" s="503"/>
      <c r="E7" s="243">
        <v>19.8</v>
      </c>
      <c r="F7" s="243">
        <v>9.59</v>
      </c>
      <c r="G7" s="243">
        <v>15</v>
      </c>
      <c r="H7" s="243">
        <v>18.399999999999999</v>
      </c>
      <c r="I7" s="243">
        <v>24.1</v>
      </c>
      <c r="J7" s="243">
        <v>17.600000000000001</v>
      </c>
      <c r="K7" s="243">
        <v>12.4</v>
      </c>
      <c r="L7" s="243">
        <v>10.08</v>
      </c>
      <c r="M7" s="243">
        <v>13.3</v>
      </c>
      <c r="N7" s="243">
        <v>20.100000000000001</v>
      </c>
      <c r="O7" s="336">
        <f>MIN(E6:N12)</f>
        <v>8.4499999999999993</v>
      </c>
    </row>
    <row r="8" spans="2:15" x14ac:dyDescent="0.25">
      <c r="B8" s="235" t="s">
        <v>29</v>
      </c>
      <c r="C8" s="500"/>
      <c r="D8" s="503"/>
      <c r="E8" s="243">
        <v>31.6</v>
      </c>
      <c r="F8" s="243">
        <v>10.199999999999999</v>
      </c>
      <c r="G8" s="243">
        <v>11.5</v>
      </c>
      <c r="H8" s="243">
        <v>12.2</v>
      </c>
      <c r="I8" s="243">
        <v>20.5</v>
      </c>
      <c r="J8" s="243">
        <v>21.8</v>
      </c>
      <c r="K8" s="243">
        <v>14</v>
      </c>
      <c r="L8" s="243">
        <v>25.6</v>
      </c>
      <c r="M8" s="243">
        <v>20.9</v>
      </c>
      <c r="N8" s="243">
        <v>56.1</v>
      </c>
    </row>
    <row r="9" spans="2:15" x14ac:dyDescent="0.25">
      <c r="B9" s="235" t="s">
        <v>30</v>
      </c>
      <c r="C9" s="500"/>
      <c r="D9" s="503"/>
      <c r="E9" s="243">
        <v>33.1</v>
      </c>
      <c r="F9" s="243">
        <v>15.1</v>
      </c>
      <c r="G9" s="243">
        <v>19.100000000000001</v>
      </c>
      <c r="H9" s="243">
        <v>17.8</v>
      </c>
      <c r="I9" s="243">
        <v>32.5</v>
      </c>
      <c r="J9" s="243">
        <v>35.6</v>
      </c>
      <c r="K9" s="243">
        <v>26.8</v>
      </c>
      <c r="L9" s="243">
        <v>23.8</v>
      </c>
      <c r="M9" s="243">
        <v>18.8</v>
      </c>
      <c r="N9" s="243">
        <v>27.4</v>
      </c>
    </row>
    <row r="10" spans="2:15" x14ac:dyDescent="0.25">
      <c r="B10" s="235" t="s">
        <v>31</v>
      </c>
      <c r="C10" s="500"/>
      <c r="D10" s="503"/>
      <c r="E10" s="243">
        <v>57.2</v>
      </c>
      <c r="F10" s="243">
        <v>25.6</v>
      </c>
      <c r="G10" s="243">
        <v>29.1</v>
      </c>
      <c r="H10" s="243">
        <v>28.6</v>
      </c>
      <c r="I10" s="243">
        <v>58.6</v>
      </c>
      <c r="J10" s="243">
        <v>57.6</v>
      </c>
      <c r="K10" s="243">
        <v>37</v>
      </c>
      <c r="L10" s="243">
        <v>27.9</v>
      </c>
      <c r="M10" s="243">
        <v>29.7</v>
      </c>
      <c r="N10" s="243">
        <v>38.1</v>
      </c>
    </row>
    <row r="11" spans="2:15" x14ac:dyDescent="0.25">
      <c r="B11" s="235" t="s">
        <v>25</v>
      </c>
      <c r="C11" s="500"/>
      <c r="D11" s="503"/>
      <c r="E11" s="243">
        <v>405</v>
      </c>
      <c r="F11" s="243">
        <v>190</v>
      </c>
      <c r="G11" s="243">
        <v>129</v>
      </c>
      <c r="H11" s="243">
        <v>132</v>
      </c>
      <c r="I11" s="243">
        <v>88.5</v>
      </c>
      <c r="J11" s="243">
        <v>348</v>
      </c>
      <c r="K11" s="243">
        <v>121</v>
      </c>
      <c r="L11" s="243">
        <v>101</v>
      </c>
      <c r="M11" s="243">
        <v>153</v>
      </c>
      <c r="N11" s="243">
        <v>251</v>
      </c>
    </row>
    <row r="12" spans="2:15" ht="15.75" thickBot="1" x14ac:dyDescent="0.3">
      <c r="B12" s="236" t="s">
        <v>32</v>
      </c>
      <c r="C12" s="501"/>
      <c r="D12" s="504"/>
      <c r="E12" s="244">
        <v>433</v>
      </c>
      <c r="F12" s="244">
        <v>232</v>
      </c>
      <c r="G12" s="244">
        <v>104</v>
      </c>
      <c r="H12" s="244">
        <v>112</v>
      </c>
      <c r="I12" s="244">
        <v>91</v>
      </c>
      <c r="J12" s="244">
        <v>559</v>
      </c>
      <c r="K12" s="244">
        <v>153</v>
      </c>
      <c r="L12" s="244">
        <v>156</v>
      </c>
      <c r="M12" s="244">
        <v>205</v>
      </c>
      <c r="N12" s="244">
        <v>261</v>
      </c>
    </row>
    <row r="13" spans="2:15" ht="15.75" thickBot="1" x14ac:dyDescent="0.3"/>
    <row r="14" spans="2:15" ht="16.5" thickBot="1" x14ac:dyDescent="0.3">
      <c r="B14" s="492" t="s">
        <v>347</v>
      </c>
      <c r="C14" s="490"/>
      <c r="D14" s="490"/>
      <c r="E14" s="493"/>
      <c r="F14" s="493"/>
      <c r="G14" s="493"/>
      <c r="H14" s="493"/>
      <c r="I14" s="493"/>
      <c r="J14" s="493"/>
      <c r="K14" s="493"/>
      <c r="L14" s="493"/>
      <c r="M14" s="493"/>
      <c r="N14" s="494"/>
    </row>
    <row r="15" spans="2:15" ht="15.75" thickBot="1" x14ac:dyDescent="0.3">
      <c r="B15" s="495" t="s">
        <v>346</v>
      </c>
      <c r="C15" s="505" t="s">
        <v>33</v>
      </c>
      <c r="D15" s="498"/>
      <c r="E15" s="237" t="s">
        <v>337</v>
      </c>
      <c r="F15" s="237" t="s">
        <v>84</v>
      </c>
      <c r="G15" s="237" t="s">
        <v>338</v>
      </c>
      <c r="H15" s="237" t="s">
        <v>339</v>
      </c>
      <c r="I15" s="237" t="s">
        <v>340</v>
      </c>
      <c r="J15" s="237" t="s">
        <v>341</v>
      </c>
      <c r="K15" s="237" t="s">
        <v>342</v>
      </c>
      <c r="L15" s="237" t="s">
        <v>343</v>
      </c>
      <c r="M15" s="237" t="s">
        <v>344</v>
      </c>
      <c r="N15" s="237" t="s">
        <v>355</v>
      </c>
    </row>
    <row r="16" spans="2:15" ht="15.75" thickBot="1" x14ac:dyDescent="0.3">
      <c r="B16" s="496"/>
      <c r="C16" s="256" t="s">
        <v>298</v>
      </c>
      <c r="D16" s="257" t="s">
        <v>297</v>
      </c>
      <c r="E16" s="237" t="s">
        <v>64</v>
      </c>
      <c r="F16" s="237" t="s">
        <v>64</v>
      </c>
      <c r="G16" s="237" t="s">
        <v>64</v>
      </c>
      <c r="H16" s="237" t="s">
        <v>64</v>
      </c>
      <c r="I16" s="237" t="s">
        <v>64</v>
      </c>
      <c r="J16" s="237" t="s">
        <v>64</v>
      </c>
      <c r="K16" s="237" t="s">
        <v>64</v>
      </c>
      <c r="L16" s="237" t="s">
        <v>64</v>
      </c>
      <c r="M16" s="237" t="s">
        <v>64</v>
      </c>
      <c r="N16" s="237" t="s">
        <v>64</v>
      </c>
    </row>
    <row r="17" spans="2:15" x14ac:dyDescent="0.25">
      <c r="B17" s="241" t="s">
        <v>27</v>
      </c>
      <c r="C17" s="500">
        <v>2500</v>
      </c>
      <c r="D17" s="506">
        <v>5000</v>
      </c>
      <c r="E17" s="246" t="s">
        <v>37</v>
      </c>
      <c r="F17" s="247">
        <v>3400</v>
      </c>
      <c r="G17" s="247">
        <v>3540</v>
      </c>
      <c r="H17" s="247">
        <v>3340</v>
      </c>
      <c r="I17" s="247">
        <v>3210</v>
      </c>
      <c r="J17" s="247">
        <v>3050</v>
      </c>
      <c r="K17" s="247">
        <v>3300</v>
      </c>
      <c r="L17" s="248">
        <v>3770</v>
      </c>
      <c r="M17" s="247">
        <v>3360</v>
      </c>
      <c r="N17" s="249">
        <v>3500</v>
      </c>
      <c r="O17" s="51">
        <f>MAX(E17:N23)</f>
        <v>3770</v>
      </c>
    </row>
    <row r="18" spans="2:15" x14ac:dyDescent="0.25">
      <c r="B18" s="235" t="s">
        <v>28</v>
      </c>
      <c r="C18" s="500"/>
      <c r="D18" s="506"/>
      <c r="E18" s="250" t="s">
        <v>37</v>
      </c>
      <c r="F18" s="245">
        <v>2250</v>
      </c>
      <c r="G18" s="245">
        <v>2350</v>
      </c>
      <c r="H18" s="245">
        <v>2530</v>
      </c>
      <c r="I18" s="245">
        <v>2129</v>
      </c>
      <c r="J18" s="245">
        <v>2048</v>
      </c>
      <c r="K18" s="245">
        <v>2210</v>
      </c>
      <c r="L18" s="245">
        <v>2098</v>
      </c>
      <c r="M18" s="245">
        <v>2170</v>
      </c>
      <c r="N18" s="251">
        <v>2070</v>
      </c>
      <c r="O18" s="51">
        <f>MIN(E17:N23)</f>
        <v>262</v>
      </c>
    </row>
    <row r="19" spans="2:15" x14ac:dyDescent="0.25">
      <c r="B19" s="235" t="s">
        <v>29</v>
      </c>
      <c r="C19" s="500"/>
      <c r="D19" s="506"/>
      <c r="E19" s="250" t="s">
        <v>37</v>
      </c>
      <c r="F19" s="245">
        <v>3000</v>
      </c>
      <c r="G19" s="245">
        <v>2060</v>
      </c>
      <c r="H19" s="245">
        <v>2950</v>
      </c>
      <c r="I19" s="245">
        <v>2840</v>
      </c>
      <c r="J19" s="245">
        <v>2740</v>
      </c>
      <c r="K19" s="245">
        <v>2960</v>
      </c>
      <c r="L19" s="245">
        <v>2970</v>
      </c>
      <c r="M19" s="245">
        <v>2890</v>
      </c>
      <c r="N19" s="251">
        <v>2770</v>
      </c>
    </row>
    <row r="20" spans="2:15" x14ac:dyDescent="0.25">
      <c r="B20" s="235" t="s">
        <v>30</v>
      </c>
      <c r="C20" s="500"/>
      <c r="D20" s="506"/>
      <c r="E20" s="250" t="s">
        <v>37</v>
      </c>
      <c r="F20" s="245">
        <v>2700</v>
      </c>
      <c r="G20" s="245">
        <v>2670</v>
      </c>
      <c r="H20" s="245">
        <v>2730</v>
      </c>
      <c r="I20" s="245">
        <v>2620</v>
      </c>
      <c r="J20" s="245">
        <v>2520</v>
      </c>
      <c r="K20" s="245">
        <v>2800</v>
      </c>
      <c r="L20" s="245">
        <v>2700</v>
      </c>
      <c r="M20" s="245">
        <v>2690</v>
      </c>
      <c r="N20" s="251">
        <v>2730</v>
      </c>
    </row>
    <row r="21" spans="2:15" x14ac:dyDescent="0.25">
      <c r="B21" s="235" t="s">
        <v>31</v>
      </c>
      <c r="C21" s="500"/>
      <c r="D21" s="506"/>
      <c r="E21" s="250" t="s">
        <v>37</v>
      </c>
      <c r="F21" s="245">
        <v>2260</v>
      </c>
      <c r="G21" s="245">
        <v>2360</v>
      </c>
      <c r="H21" s="245">
        <v>2550</v>
      </c>
      <c r="I21" s="245">
        <v>2280</v>
      </c>
      <c r="J21" s="245">
        <v>2222</v>
      </c>
      <c r="K21" s="245">
        <v>2520</v>
      </c>
      <c r="L21" s="245">
        <v>2380</v>
      </c>
      <c r="M21" s="245">
        <v>2290</v>
      </c>
      <c r="N21" s="251">
        <v>2260</v>
      </c>
    </row>
    <row r="22" spans="2:15" x14ac:dyDescent="0.25">
      <c r="B22" s="235" t="s">
        <v>25</v>
      </c>
      <c r="C22" s="500"/>
      <c r="D22" s="506"/>
      <c r="E22" s="250" t="s">
        <v>37</v>
      </c>
      <c r="F22" s="245">
        <v>263</v>
      </c>
      <c r="G22" s="245">
        <v>315</v>
      </c>
      <c r="H22" s="245">
        <v>403</v>
      </c>
      <c r="I22" s="245">
        <v>479</v>
      </c>
      <c r="J22" s="245">
        <v>512</v>
      </c>
      <c r="K22" s="245">
        <v>520</v>
      </c>
      <c r="L22" s="245">
        <v>515</v>
      </c>
      <c r="M22" s="245">
        <v>400</v>
      </c>
      <c r="N22" s="251">
        <v>294</v>
      </c>
    </row>
    <row r="23" spans="2:15" ht="15.75" thickBot="1" x14ac:dyDescent="0.3">
      <c r="B23" s="236" t="s">
        <v>32</v>
      </c>
      <c r="C23" s="501"/>
      <c r="D23" s="507"/>
      <c r="E23" s="252" t="s">
        <v>37</v>
      </c>
      <c r="F23" s="255">
        <v>262</v>
      </c>
      <c r="G23" s="253">
        <v>309</v>
      </c>
      <c r="H23" s="253">
        <v>381</v>
      </c>
      <c r="I23" s="253">
        <v>483</v>
      </c>
      <c r="J23" s="253">
        <v>509</v>
      </c>
      <c r="K23" s="253">
        <v>530</v>
      </c>
      <c r="L23" s="253">
        <v>519</v>
      </c>
      <c r="M23" s="253">
        <v>390</v>
      </c>
      <c r="N23" s="254">
        <v>394</v>
      </c>
    </row>
    <row r="24" spans="2:15" ht="15.75" thickBot="1" x14ac:dyDescent="0.3">
      <c r="B24" s="259"/>
      <c r="C24" s="232"/>
      <c r="D24" s="232"/>
    </row>
    <row r="25" spans="2:15" ht="16.5" thickBot="1" x14ac:dyDescent="0.3">
      <c r="B25" s="489" t="s">
        <v>348</v>
      </c>
      <c r="C25" s="490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1"/>
    </row>
    <row r="26" spans="2:15" ht="15.75" thickBot="1" x14ac:dyDescent="0.3">
      <c r="B26" s="487" t="s">
        <v>346</v>
      </c>
      <c r="C26" s="497" t="s">
        <v>33</v>
      </c>
      <c r="D26" s="498"/>
      <c r="E26" s="237" t="s">
        <v>337</v>
      </c>
      <c r="F26" s="237" t="s">
        <v>84</v>
      </c>
      <c r="G26" s="237" t="s">
        <v>338</v>
      </c>
      <c r="H26" s="237" t="s">
        <v>339</v>
      </c>
      <c r="I26" s="237" t="s">
        <v>340</v>
      </c>
      <c r="J26" s="237" t="s">
        <v>341</v>
      </c>
      <c r="K26" s="237" t="s">
        <v>342</v>
      </c>
      <c r="L26" s="237" t="s">
        <v>343</v>
      </c>
      <c r="M26" s="237" t="s">
        <v>344</v>
      </c>
      <c r="N26" s="237" t="s">
        <v>355</v>
      </c>
    </row>
    <row r="27" spans="2:15" ht="15.75" thickBot="1" x14ac:dyDescent="0.3">
      <c r="B27" s="488"/>
      <c r="C27" s="260" t="s">
        <v>298</v>
      </c>
      <c r="D27" s="261" t="s">
        <v>297</v>
      </c>
      <c r="E27" s="262" t="s">
        <v>24</v>
      </c>
      <c r="F27" s="262" t="s">
        <v>24</v>
      </c>
      <c r="G27" s="262" t="s">
        <v>24</v>
      </c>
      <c r="H27" s="262" t="s">
        <v>24</v>
      </c>
      <c r="I27" s="262" t="s">
        <v>24</v>
      </c>
      <c r="J27" s="262" t="s">
        <v>24</v>
      </c>
      <c r="K27" s="262" t="s">
        <v>24</v>
      </c>
      <c r="L27" s="262" t="s">
        <v>24</v>
      </c>
      <c r="M27" s="262" t="s">
        <v>24</v>
      </c>
      <c r="N27" s="262" t="s">
        <v>24</v>
      </c>
    </row>
    <row r="28" spans="2:15" x14ac:dyDescent="0.25">
      <c r="B28" s="234" t="s">
        <v>27</v>
      </c>
      <c r="C28" s="500" t="s">
        <v>350</v>
      </c>
      <c r="D28" s="506" t="s">
        <v>350</v>
      </c>
      <c r="E28" s="246" t="s">
        <v>37</v>
      </c>
      <c r="F28" s="247">
        <v>1700</v>
      </c>
      <c r="G28" s="247">
        <v>1167</v>
      </c>
      <c r="H28" s="247">
        <v>1670</v>
      </c>
      <c r="I28" s="247">
        <v>1705</v>
      </c>
      <c r="J28" s="247">
        <v>1685</v>
      </c>
      <c r="K28" s="247">
        <v>1697</v>
      </c>
      <c r="L28" s="248">
        <v>1951</v>
      </c>
      <c r="M28" s="247">
        <v>1728</v>
      </c>
      <c r="N28" s="249">
        <v>1563</v>
      </c>
      <c r="O28" s="51">
        <f>MAX(E28:N34)</f>
        <v>1951</v>
      </c>
    </row>
    <row r="29" spans="2:15" x14ac:dyDescent="0.25">
      <c r="B29" s="235" t="s">
        <v>28</v>
      </c>
      <c r="C29" s="500"/>
      <c r="D29" s="506"/>
      <c r="E29" s="250" t="s">
        <v>37</v>
      </c>
      <c r="F29" s="245">
        <v>1125</v>
      </c>
      <c r="G29" s="245">
        <v>1151</v>
      </c>
      <c r="H29" s="245">
        <v>1265</v>
      </c>
      <c r="I29" s="245">
        <v>1104</v>
      </c>
      <c r="J29" s="245">
        <v>1113</v>
      </c>
      <c r="K29" s="245">
        <v>1119</v>
      </c>
      <c r="L29" s="245">
        <v>1060</v>
      </c>
      <c r="M29" s="245">
        <v>1100</v>
      </c>
      <c r="N29" s="251">
        <v>942</v>
      </c>
      <c r="O29" s="51">
        <f>MIN(E28:N34)</f>
        <v>131</v>
      </c>
    </row>
    <row r="30" spans="2:15" x14ac:dyDescent="0.25">
      <c r="B30" s="235" t="s">
        <v>29</v>
      </c>
      <c r="C30" s="500"/>
      <c r="D30" s="506"/>
      <c r="E30" s="250" t="s">
        <v>37</v>
      </c>
      <c r="F30" s="245">
        <v>1500</v>
      </c>
      <c r="G30" s="245">
        <v>1524</v>
      </c>
      <c r="H30" s="245">
        <v>1475</v>
      </c>
      <c r="I30" s="245">
        <v>1419</v>
      </c>
      <c r="J30" s="245">
        <v>1505</v>
      </c>
      <c r="K30" s="245">
        <v>1515</v>
      </c>
      <c r="L30" s="245">
        <v>1522</v>
      </c>
      <c r="M30" s="245">
        <v>1470</v>
      </c>
      <c r="N30" s="251">
        <v>1310</v>
      </c>
    </row>
    <row r="31" spans="2:15" x14ac:dyDescent="0.25">
      <c r="B31" s="235" t="s">
        <v>30</v>
      </c>
      <c r="C31" s="500"/>
      <c r="D31" s="506"/>
      <c r="E31" s="250" t="s">
        <v>37</v>
      </c>
      <c r="F31" s="245">
        <v>1350</v>
      </c>
      <c r="G31" s="245">
        <v>1318</v>
      </c>
      <c r="H31" s="245">
        <v>1365</v>
      </c>
      <c r="I31" s="245">
        <v>1362</v>
      </c>
      <c r="J31" s="245">
        <v>1382</v>
      </c>
      <c r="K31" s="245">
        <v>1430</v>
      </c>
      <c r="L31" s="245">
        <v>1358</v>
      </c>
      <c r="M31" s="245">
        <v>1371</v>
      </c>
      <c r="N31" s="251">
        <v>1292</v>
      </c>
    </row>
    <row r="32" spans="2:15" x14ac:dyDescent="0.25">
      <c r="B32" s="235" t="s">
        <v>31</v>
      </c>
      <c r="C32" s="500"/>
      <c r="D32" s="506"/>
      <c r="E32" s="250" t="s">
        <v>37</v>
      </c>
      <c r="F32" s="245">
        <v>1130</v>
      </c>
      <c r="G32" s="245">
        <v>1160</v>
      </c>
      <c r="H32" s="245">
        <v>1275</v>
      </c>
      <c r="I32" s="245">
        <v>1184</v>
      </c>
      <c r="J32" s="245">
        <v>1212</v>
      </c>
      <c r="K32" s="245">
        <v>1284</v>
      </c>
      <c r="L32" s="245">
        <v>1206</v>
      </c>
      <c r="M32" s="245">
        <v>1162</v>
      </c>
      <c r="N32" s="251">
        <v>1077</v>
      </c>
    </row>
    <row r="33" spans="2:15" x14ac:dyDescent="0.25">
      <c r="B33" s="235" t="s">
        <v>25</v>
      </c>
      <c r="C33" s="500"/>
      <c r="D33" s="506"/>
      <c r="E33" s="250" t="s">
        <v>37</v>
      </c>
      <c r="F33" s="258">
        <v>131.5</v>
      </c>
      <c r="G33" s="258">
        <v>156.4</v>
      </c>
      <c r="H33" s="245">
        <v>201.5</v>
      </c>
      <c r="I33" s="245">
        <v>240</v>
      </c>
      <c r="J33" s="245">
        <v>266</v>
      </c>
      <c r="K33" s="245">
        <v>254</v>
      </c>
      <c r="L33" s="245">
        <v>297</v>
      </c>
      <c r="M33" s="245">
        <v>194.5</v>
      </c>
      <c r="N33" s="251">
        <v>146</v>
      </c>
    </row>
    <row r="34" spans="2:15" ht="15.75" thickBot="1" x14ac:dyDescent="0.3">
      <c r="B34" s="236" t="s">
        <v>32</v>
      </c>
      <c r="C34" s="501"/>
      <c r="D34" s="507"/>
      <c r="E34" s="252" t="s">
        <v>37</v>
      </c>
      <c r="F34" s="255">
        <v>131</v>
      </c>
      <c r="G34" s="253">
        <v>156.5</v>
      </c>
      <c r="H34" s="253">
        <v>190.5</v>
      </c>
      <c r="I34" s="253">
        <v>243</v>
      </c>
      <c r="J34" s="253">
        <v>264</v>
      </c>
      <c r="K34" s="253">
        <v>256</v>
      </c>
      <c r="L34" s="253">
        <v>251</v>
      </c>
      <c r="M34" s="253">
        <v>187</v>
      </c>
      <c r="N34" s="254">
        <v>199</v>
      </c>
    </row>
    <row r="35" spans="2:15" ht="15.75" thickBot="1" x14ac:dyDescent="0.3"/>
    <row r="36" spans="2:15" ht="16.5" thickBot="1" x14ac:dyDescent="0.3">
      <c r="B36" s="489" t="s">
        <v>23</v>
      </c>
      <c r="C36" s="490"/>
      <c r="D36" s="490"/>
      <c r="E36" s="493"/>
      <c r="F36" s="493"/>
      <c r="G36" s="493"/>
      <c r="H36" s="493"/>
      <c r="I36" s="493"/>
      <c r="J36" s="493"/>
      <c r="K36" s="493"/>
      <c r="L36" s="493"/>
      <c r="M36" s="493"/>
      <c r="N36" s="494"/>
    </row>
    <row r="37" spans="2:15" x14ac:dyDescent="0.25">
      <c r="B37" s="487" t="s">
        <v>346</v>
      </c>
      <c r="C37" s="497" t="s">
        <v>33</v>
      </c>
      <c r="D37" s="516"/>
      <c r="E37" s="497" t="s">
        <v>337</v>
      </c>
      <c r="F37" s="514" t="s">
        <v>84</v>
      </c>
      <c r="G37" s="514" t="s">
        <v>338</v>
      </c>
      <c r="H37" s="514" t="s">
        <v>339</v>
      </c>
      <c r="I37" s="514" t="s">
        <v>340</v>
      </c>
      <c r="J37" s="514" t="s">
        <v>341</v>
      </c>
      <c r="K37" s="514" t="s">
        <v>342</v>
      </c>
      <c r="L37" s="514" t="s">
        <v>343</v>
      </c>
      <c r="M37" s="514" t="s">
        <v>344</v>
      </c>
      <c r="N37" s="516" t="s">
        <v>355</v>
      </c>
    </row>
    <row r="38" spans="2:15" ht="15.75" thickBot="1" x14ac:dyDescent="0.3">
      <c r="B38" s="488"/>
      <c r="C38" s="260" t="s">
        <v>298</v>
      </c>
      <c r="D38" s="261" t="s">
        <v>297</v>
      </c>
      <c r="E38" s="513"/>
      <c r="F38" s="515"/>
      <c r="G38" s="515"/>
      <c r="H38" s="515"/>
      <c r="I38" s="515"/>
      <c r="J38" s="515"/>
      <c r="K38" s="515"/>
      <c r="L38" s="515"/>
      <c r="M38" s="515"/>
      <c r="N38" s="521"/>
    </row>
    <row r="39" spans="2:15" x14ac:dyDescent="0.25">
      <c r="B39" s="234" t="s">
        <v>27</v>
      </c>
      <c r="C39" s="500" t="s">
        <v>356</v>
      </c>
      <c r="D39" s="506" t="s">
        <v>357</v>
      </c>
      <c r="E39" s="246" t="s">
        <v>37</v>
      </c>
      <c r="F39" s="332">
        <v>8.3829999999999991</v>
      </c>
      <c r="G39" s="332">
        <v>8.3829999999999991</v>
      </c>
      <c r="H39" s="332">
        <v>7.55</v>
      </c>
      <c r="I39" s="332">
        <v>6.61</v>
      </c>
      <c r="J39" s="332">
        <v>7.33</v>
      </c>
      <c r="K39" s="332">
        <v>7.29</v>
      </c>
      <c r="L39" s="332">
        <v>6.76</v>
      </c>
      <c r="M39" s="332">
        <v>7.87</v>
      </c>
      <c r="N39" s="333">
        <v>7.87</v>
      </c>
      <c r="O39" s="336">
        <f>MAX(E39:N45)</f>
        <v>8.4410000000000007</v>
      </c>
    </row>
    <row r="40" spans="2:15" x14ac:dyDescent="0.25">
      <c r="B40" s="235" t="s">
        <v>28</v>
      </c>
      <c r="C40" s="500"/>
      <c r="D40" s="506"/>
      <c r="E40" s="250" t="s">
        <v>37</v>
      </c>
      <c r="F40" s="294">
        <v>8.26</v>
      </c>
      <c r="G40" s="294">
        <v>8.26</v>
      </c>
      <c r="H40" s="294">
        <v>7.4340000000000002</v>
      </c>
      <c r="I40" s="294">
        <v>6.68</v>
      </c>
      <c r="J40" s="294">
        <v>7.25</v>
      </c>
      <c r="K40" s="294">
        <v>6.61</v>
      </c>
      <c r="L40" s="294">
        <v>6.88</v>
      </c>
      <c r="M40" s="294">
        <v>7.54</v>
      </c>
      <c r="N40" s="334">
        <v>7.54</v>
      </c>
      <c r="O40" s="336">
        <f>MIN(E39:N45)</f>
        <v>6.12</v>
      </c>
    </row>
    <row r="41" spans="2:15" x14ac:dyDescent="0.25">
      <c r="B41" s="235" t="s">
        <v>29</v>
      </c>
      <c r="C41" s="500"/>
      <c r="D41" s="506"/>
      <c r="E41" s="250" t="s">
        <v>37</v>
      </c>
      <c r="F41" s="294">
        <v>7.9619999999999997</v>
      </c>
      <c r="G41" s="294">
        <v>7.9619999999999997</v>
      </c>
      <c r="H41" s="294">
        <v>7.6040000000000001</v>
      </c>
      <c r="I41" s="295">
        <v>6.12</v>
      </c>
      <c r="J41" s="294">
        <v>7.34</v>
      </c>
      <c r="K41" s="294">
        <v>7.03</v>
      </c>
      <c r="L41" s="294">
        <v>6.9</v>
      </c>
      <c r="M41" s="294">
        <v>7.23</v>
      </c>
      <c r="N41" s="334">
        <v>7.23</v>
      </c>
    </row>
    <row r="42" spans="2:15" x14ac:dyDescent="0.25">
      <c r="B42" s="235" t="s">
        <v>30</v>
      </c>
      <c r="C42" s="500"/>
      <c r="D42" s="506"/>
      <c r="E42" s="250" t="s">
        <v>37</v>
      </c>
      <c r="F42" s="294">
        <v>7.944</v>
      </c>
      <c r="G42" s="294">
        <v>7.944</v>
      </c>
      <c r="H42" s="294">
        <v>7.7220000000000004</v>
      </c>
      <c r="I42" s="294">
        <v>6.91</v>
      </c>
      <c r="J42" s="294">
        <v>7.41</v>
      </c>
      <c r="K42" s="294">
        <v>7.52</v>
      </c>
      <c r="L42" s="294">
        <v>6.84</v>
      </c>
      <c r="M42" s="294">
        <v>7.54</v>
      </c>
      <c r="N42" s="334">
        <v>7.54</v>
      </c>
    </row>
    <row r="43" spans="2:15" x14ac:dyDescent="0.25">
      <c r="B43" s="235" t="s">
        <v>31</v>
      </c>
      <c r="C43" s="500"/>
      <c r="D43" s="506"/>
      <c r="E43" s="250" t="s">
        <v>37</v>
      </c>
      <c r="F43" s="294">
        <v>7.9829999999999997</v>
      </c>
      <c r="G43" s="294">
        <v>7.9829999999999997</v>
      </c>
      <c r="H43" s="294">
        <v>7.8129999999999997</v>
      </c>
      <c r="I43" s="294">
        <v>7.03</v>
      </c>
      <c r="J43" s="294">
        <v>7.49</v>
      </c>
      <c r="K43" s="294">
        <v>7.75</v>
      </c>
      <c r="L43" s="294">
        <v>6.95</v>
      </c>
      <c r="M43" s="294">
        <v>7.84</v>
      </c>
      <c r="N43" s="334">
        <v>7.84</v>
      </c>
    </row>
    <row r="44" spans="2:15" x14ac:dyDescent="0.25">
      <c r="B44" s="235" t="s">
        <v>25</v>
      </c>
      <c r="C44" s="500"/>
      <c r="D44" s="506"/>
      <c r="E44" s="250" t="s">
        <v>37</v>
      </c>
      <c r="F44" s="327">
        <v>8.4410000000000007</v>
      </c>
      <c r="G44" s="327">
        <v>8.4410000000000007</v>
      </c>
      <c r="H44" s="294">
        <v>8.1489999999999991</v>
      </c>
      <c r="I44" s="294">
        <v>7.4</v>
      </c>
      <c r="J44" s="294">
        <v>7.74</v>
      </c>
      <c r="K44" s="294">
        <v>8.2100000000000009</v>
      </c>
      <c r="L44" s="294">
        <v>7.2</v>
      </c>
      <c r="M44" s="294">
        <v>8.25</v>
      </c>
      <c r="N44" s="334">
        <v>8.25</v>
      </c>
    </row>
    <row r="45" spans="2:15" ht="15.75" thickBot="1" x14ac:dyDescent="0.3">
      <c r="B45" s="236" t="s">
        <v>32</v>
      </c>
      <c r="C45" s="501"/>
      <c r="D45" s="507"/>
      <c r="E45" s="252" t="s">
        <v>37</v>
      </c>
      <c r="F45" s="296">
        <v>8.2530000000000001</v>
      </c>
      <c r="G45" s="296">
        <v>8.2530000000000001</v>
      </c>
      <c r="H45" s="296">
        <v>8.0549999999999997</v>
      </c>
      <c r="I45" s="296">
        <v>7.41</v>
      </c>
      <c r="J45" s="296">
        <v>7.67</v>
      </c>
      <c r="K45" s="296">
        <v>8</v>
      </c>
      <c r="L45" s="296">
        <v>7.12</v>
      </c>
      <c r="M45" s="296">
        <v>7.93</v>
      </c>
      <c r="N45" s="335">
        <v>7.93</v>
      </c>
    </row>
    <row r="46" spans="2:15" ht="15.75" thickBot="1" x14ac:dyDescent="0.3"/>
    <row r="47" spans="2:15" ht="15.75" thickBot="1" x14ac:dyDescent="0.3">
      <c r="B47" s="510" t="s">
        <v>349</v>
      </c>
      <c r="C47" s="511"/>
      <c r="D47" s="511"/>
      <c r="E47" s="511"/>
      <c r="F47" s="511"/>
      <c r="G47" s="511"/>
      <c r="H47" s="511"/>
      <c r="I47" s="511"/>
      <c r="J47" s="511"/>
      <c r="K47" s="511"/>
      <c r="L47" s="511"/>
      <c r="M47" s="511"/>
      <c r="N47" s="512"/>
    </row>
    <row r="48" spans="2:15" ht="15.75" thickBot="1" x14ac:dyDescent="0.3">
      <c r="B48" s="487" t="s">
        <v>346</v>
      </c>
      <c r="C48" s="497" t="s">
        <v>33</v>
      </c>
      <c r="D48" s="516"/>
      <c r="E48" s="237" t="s">
        <v>337</v>
      </c>
      <c r="F48" s="237" t="s">
        <v>84</v>
      </c>
      <c r="G48" s="237" t="s">
        <v>338</v>
      </c>
      <c r="H48" s="237" t="s">
        <v>339</v>
      </c>
      <c r="I48" s="237" t="s">
        <v>340</v>
      </c>
      <c r="J48" s="237" t="s">
        <v>341</v>
      </c>
      <c r="K48" s="237" t="s">
        <v>342</v>
      </c>
      <c r="L48" s="237" t="s">
        <v>343</v>
      </c>
      <c r="M48" s="237" t="s">
        <v>344</v>
      </c>
      <c r="N48" s="237" t="s">
        <v>355</v>
      </c>
    </row>
    <row r="49" spans="2:15" ht="15.75" thickBot="1" x14ac:dyDescent="0.3">
      <c r="B49" s="488"/>
      <c r="C49" s="260" t="s">
        <v>298</v>
      </c>
      <c r="D49" s="261" t="s">
        <v>297</v>
      </c>
      <c r="E49" s="237" t="s">
        <v>40</v>
      </c>
      <c r="F49" s="237" t="s">
        <v>40</v>
      </c>
      <c r="G49" s="237" t="s">
        <v>40</v>
      </c>
      <c r="H49" s="237" t="s">
        <v>40</v>
      </c>
      <c r="I49" s="237" t="s">
        <v>40</v>
      </c>
      <c r="J49" s="237" t="s">
        <v>40</v>
      </c>
      <c r="K49" s="237" t="s">
        <v>40</v>
      </c>
      <c r="L49" s="237" t="s">
        <v>40</v>
      </c>
      <c r="M49" s="237" t="s">
        <v>40</v>
      </c>
      <c r="N49" s="237" t="s">
        <v>40</v>
      </c>
    </row>
    <row r="50" spans="2:15" x14ac:dyDescent="0.25">
      <c r="B50" s="234" t="s">
        <v>27</v>
      </c>
      <c r="C50" s="500" t="s">
        <v>350</v>
      </c>
      <c r="D50" s="506" t="s">
        <v>350</v>
      </c>
      <c r="E50" s="263" t="s">
        <v>37</v>
      </c>
      <c r="F50" s="266">
        <v>26.5</v>
      </c>
      <c r="G50" s="272">
        <v>27</v>
      </c>
      <c r="H50" s="272">
        <v>24</v>
      </c>
      <c r="I50" s="266">
        <v>23.4</v>
      </c>
      <c r="J50" s="266">
        <v>21.6</v>
      </c>
      <c r="K50" s="272">
        <v>25</v>
      </c>
      <c r="L50" s="266">
        <v>24.8</v>
      </c>
      <c r="M50" s="266">
        <v>26.6</v>
      </c>
      <c r="N50" s="269">
        <v>29.2</v>
      </c>
      <c r="O50" s="51">
        <f>MAX(E50:N56)</f>
        <v>29.2</v>
      </c>
    </row>
    <row r="51" spans="2:15" x14ac:dyDescent="0.25">
      <c r="B51" s="235" t="s">
        <v>28</v>
      </c>
      <c r="C51" s="500"/>
      <c r="D51" s="506"/>
      <c r="E51" s="264" t="s">
        <v>37</v>
      </c>
      <c r="F51" s="267">
        <v>26.1</v>
      </c>
      <c r="G51" s="267">
        <v>26.3</v>
      </c>
      <c r="H51" s="267">
        <v>23.8</v>
      </c>
      <c r="I51" s="267">
        <v>24.2</v>
      </c>
      <c r="J51" s="267">
        <v>21.6</v>
      </c>
      <c r="K51" s="267">
        <v>24.9</v>
      </c>
      <c r="L51" s="267">
        <v>23.8</v>
      </c>
      <c r="M51" s="267">
        <v>26.4</v>
      </c>
      <c r="N51" s="267">
        <v>28.4</v>
      </c>
      <c r="O51" s="51">
        <f>MIN(E50:N56)</f>
        <v>20.5</v>
      </c>
    </row>
    <row r="52" spans="2:15" x14ac:dyDescent="0.25">
      <c r="B52" s="235" t="s">
        <v>29</v>
      </c>
      <c r="C52" s="500"/>
      <c r="D52" s="506"/>
      <c r="E52" s="264" t="s">
        <v>37</v>
      </c>
      <c r="F52" s="267">
        <v>25.7</v>
      </c>
      <c r="G52" s="267">
        <v>26.7</v>
      </c>
      <c r="H52" s="267">
        <v>23.9</v>
      </c>
      <c r="I52" s="275">
        <v>24</v>
      </c>
      <c r="J52" s="267">
        <v>21.6</v>
      </c>
      <c r="K52" s="267">
        <v>25.2</v>
      </c>
      <c r="L52" s="267">
        <v>24.5</v>
      </c>
      <c r="M52" s="267">
        <v>26.5</v>
      </c>
      <c r="N52" s="267">
        <v>28.9</v>
      </c>
    </row>
    <row r="53" spans="2:15" x14ac:dyDescent="0.25">
      <c r="B53" s="235" t="s">
        <v>30</v>
      </c>
      <c r="C53" s="500"/>
      <c r="D53" s="506"/>
      <c r="E53" s="264" t="s">
        <v>37</v>
      </c>
      <c r="F53" s="267">
        <v>25.9</v>
      </c>
      <c r="G53" s="267">
        <v>26.7</v>
      </c>
      <c r="H53" s="267">
        <v>24.1</v>
      </c>
      <c r="I53" s="267">
        <v>24.4</v>
      </c>
      <c r="J53" s="267">
        <v>21.7</v>
      </c>
      <c r="K53" s="267">
        <v>24.2</v>
      </c>
      <c r="L53" s="267">
        <v>24.6</v>
      </c>
      <c r="M53" s="267">
        <v>26.5</v>
      </c>
      <c r="N53" s="267">
        <v>28.9</v>
      </c>
    </row>
    <row r="54" spans="2:15" x14ac:dyDescent="0.25">
      <c r="B54" s="235" t="s">
        <v>31</v>
      </c>
      <c r="C54" s="500"/>
      <c r="D54" s="506"/>
      <c r="E54" s="264" t="s">
        <v>37</v>
      </c>
      <c r="F54" s="267">
        <v>25.9</v>
      </c>
      <c r="G54" s="267">
        <v>26.6</v>
      </c>
      <c r="H54" s="275">
        <v>24</v>
      </c>
      <c r="I54" s="275">
        <v>23</v>
      </c>
      <c r="J54" s="267">
        <v>21.7</v>
      </c>
      <c r="K54" s="267">
        <v>23.2</v>
      </c>
      <c r="L54" s="267">
        <v>24.2</v>
      </c>
      <c r="M54" s="267">
        <v>26.8</v>
      </c>
      <c r="N54" s="275">
        <v>28</v>
      </c>
    </row>
    <row r="55" spans="2:15" x14ac:dyDescent="0.25">
      <c r="B55" s="235" t="s">
        <v>25</v>
      </c>
      <c r="C55" s="500"/>
      <c r="D55" s="506"/>
      <c r="E55" s="264" t="s">
        <v>37</v>
      </c>
      <c r="F55" s="267">
        <v>24.9</v>
      </c>
      <c r="G55" s="267">
        <v>23.2</v>
      </c>
      <c r="H55" s="267">
        <v>23.9</v>
      </c>
      <c r="I55" s="267">
        <v>23.3</v>
      </c>
      <c r="J55" s="267">
        <v>21.6</v>
      </c>
      <c r="K55" s="267">
        <v>21.5</v>
      </c>
      <c r="L55" s="275">
        <v>22</v>
      </c>
      <c r="M55" s="267">
        <v>22.8</v>
      </c>
      <c r="N55" s="267">
        <v>22.9</v>
      </c>
    </row>
    <row r="56" spans="2:15" ht="15.75" thickBot="1" x14ac:dyDescent="0.3">
      <c r="B56" s="236" t="s">
        <v>32</v>
      </c>
      <c r="C56" s="501"/>
      <c r="D56" s="507"/>
      <c r="E56" s="265" t="s">
        <v>37</v>
      </c>
      <c r="F56" s="268">
        <v>23.6</v>
      </c>
      <c r="G56" s="268">
        <v>22.7</v>
      </c>
      <c r="H56" s="268">
        <v>23.9</v>
      </c>
      <c r="I56" s="268">
        <v>22.7</v>
      </c>
      <c r="J56" s="268">
        <v>21.8</v>
      </c>
      <c r="K56" s="233">
        <v>20.5</v>
      </c>
      <c r="L56" s="268">
        <v>22.4</v>
      </c>
      <c r="M56" s="268">
        <v>23.8</v>
      </c>
      <c r="N56" s="268">
        <v>22.5</v>
      </c>
    </row>
    <row r="58" spans="2:15" ht="15.75" thickBot="1" x14ac:dyDescent="0.3"/>
    <row r="59" spans="2:15" ht="15.75" thickBot="1" x14ac:dyDescent="0.3">
      <c r="B59" s="510" t="s">
        <v>358</v>
      </c>
      <c r="C59" s="511"/>
      <c r="D59" s="511"/>
      <c r="E59" s="511"/>
      <c r="F59" s="511"/>
      <c r="G59" s="511"/>
      <c r="H59" s="511"/>
      <c r="I59" s="511"/>
      <c r="J59" s="511"/>
      <c r="K59" s="520"/>
      <c r="L59" s="511"/>
      <c r="M59" s="511"/>
      <c r="N59" s="512"/>
    </row>
    <row r="60" spans="2:15" ht="15.75" thickBot="1" x14ac:dyDescent="0.3">
      <c r="B60" s="487" t="s">
        <v>346</v>
      </c>
      <c r="C60" s="497" t="s">
        <v>33</v>
      </c>
      <c r="D60" s="516"/>
      <c r="E60" s="237" t="s">
        <v>337</v>
      </c>
      <c r="F60" s="237" t="s">
        <v>84</v>
      </c>
      <c r="G60" s="237" t="s">
        <v>338</v>
      </c>
      <c r="H60" s="237" t="s">
        <v>339</v>
      </c>
      <c r="I60" s="237" t="s">
        <v>340</v>
      </c>
      <c r="J60" s="237" t="s">
        <v>341</v>
      </c>
      <c r="K60" s="237" t="s">
        <v>342</v>
      </c>
      <c r="L60" s="237" t="s">
        <v>343</v>
      </c>
      <c r="M60" s="237" t="s">
        <v>344</v>
      </c>
      <c r="N60" s="237" t="s">
        <v>355</v>
      </c>
    </row>
    <row r="61" spans="2:15" ht="15.75" thickBot="1" x14ac:dyDescent="0.3">
      <c r="B61" s="488"/>
      <c r="C61" s="260" t="s">
        <v>298</v>
      </c>
      <c r="D61" s="261" t="s">
        <v>297</v>
      </c>
      <c r="E61" s="240" t="s">
        <v>24</v>
      </c>
      <c r="F61" s="240" t="s">
        <v>24</v>
      </c>
      <c r="G61" s="240" t="s">
        <v>24</v>
      </c>
      <c r="H61" s="240" t="s">
        <v>24</v>
      </c>
      <c r="I61" s="240" t="s">
        <v>24</v>
      </c>
      <c r="J61" s="276" t="s">
        <v>24</v>
      </c>
      <c r="K61" s="240" t="s">
        <v>24</v>
      </c>
      <c r="L61" s="281" t="s">
        <v>24</v>
      </c>
      <c r="M61" s="240" t="s">
        <v>24</v>
      </c>
      <c r="N61" s="240" t="s">
        <v>24</v>
      </c>
    </row>
    <row r="62" spans="2:15" x14ac:dyDescent="0.25">
      <c r="B62" s="234" t="s">
        <v>27</v>
      </c>
      <c r="C62" s="500">
        <v>1000</v>
      </c>
      <c r="D62" s="506">
        <v>1000</v>
      </c>
      <c r="E62" s="267">
        <v>140</v>
      </c>
      <c r="F62" s="267">
        <v>140</v>
      </c>
      <c r="G62" s="267">
        <v>198</v>
      </c>
      <c r="H62" s="267">
        <v>170</v>
      </c>
      <c r="I62" s="267">
        <v>195</v>
      </c>
      <c r="J62" s="279">
        <v>220</v>
      </c>
      <c r="K62" s="278">
        <v>185</v>
      </c>
      <c r="L62" s="282">
        <v>200</v>
      </c>
      <c r="M62" s="267">
        <v>175</v>
      </c>
      <c r="N62" s="267">
        <v>200</v>
      </c>
      <c r="O62" s="51">
        <f>MAX(E62:N68)</f>
        <v>540</v>
      </c>
    </row>
    <row r="63" spans="2:15" x14ac:dyDescent="0.25">
      <c r="B63" s="235" t="s">
        <v>28</v>
      </c>
      <c r="C63" s="500"/>
      <c r="D63" s="506"/>
      <c r="E63" s="267">
        <v>132</v>
      </c>
      <c r="F63" s="267">
        <v>108</v>
      </c>
      <c r="G63" s="267">
        <v>111</v>
      </c>
      <c r="H63" s="267">
        <v>115</v>
      </c>
      <c r="I63" s="267">
        <v>170</v>
      </c>
      <c r="J63" s="279">
        <v>140</v>
      </c>
      <c r="K63" s="267">
        <v>140</v>
      </c>
      <c r="L63" s="282">
        <v>150</v>
      </c>
      <c r="M63" s="267">
        <v>190</v>
      </c>
      <c r="N63" s="267">
        <v>220</v>
      </c>
      <c r="O63" s="51">
        <f>MIN(E62:N68)</f>
        <v>62</v>
      </c>
    </row>
    <row r="64" spans="2:15" x14ac:dyDescent="0.25">
      <c r="B64" s="235" t="s">
        <v>29</v>
      </c>
      <c r="C64" s="500"/>
      <c r="D64" s="506"/>
      <c r="E64" s="267">
        <v>138</v>
      </c>
      <c r="F64" s="267">
        <v>118</v>
      </c>
      <c r="G64" s="267">
        <v>192</v>
      </c>
      <c r="H64" s="267">
        <v>130</v>
      </c>
      <c r="I64" s="267">
        <v>175</v>
      </c>
      <c r="J64" s="279">
        <v>230</v>
      </c>
      <c r="K64" s="267">
        <v>165</v>
      </c>
      <c r="L64" s="282">
        <v>190</v>
      </c>
      <c r="M64" s="267">
        <v>160</v>
      </c>
      <c r="N64" s="267">
        <v>200</v>
      </c>
    </row>
    <row r="65" spans="2:15" x14ac:dyDescent="0.25">
      <c r="B65" s="235" t="s">
        <v>30</v>
      </c>
      <c r="C65" s="500"/>
      <c r="D65" s="506"/>
      <c r="E65" s="267">
        <v>136</v>
      </c>
      <c r="F65" s="267">
        <v>240</v>
      </c>
      <c r="G65" s="267">
        <v>213</v>
      </c>
      <c r="H65" s="267">
        <v>110</v>
      </c>
      <c r="I65" s="267">
        <v>165</v>
      </c>
      <c r="J65" s="279">
        <v>230</v>
      </c>
      <c r="K65" s="267">
        <v>180</v>
      </c>
      <c r="L65" s="282">
        <v>195</v>
      </c>
      <c r="M65" s="267">
        <v>170</v>
      </c>
      <c r="N65" s="267">
        <v>190</v>
      </c>
    </row>
    <row r="66" spans="2:15" x14ac:dyDescent="0.25">
      <c r="B66" s="235" t="s">
        <v>31</v>
      </c>
      <c r="C66" s="500"/>
      <c r="D66" s="506"/>
      <c r="E66" s="267">
        <v>134</v>
      </c>
      <c r="F66" s="267">
        <v>100</v>
      </c>
      <c r="G66" s="267">
        <v>189</v>
      </c>
      <c r="H66" s="267">
        <v>135</v>
      </c>
      <c r="I66" s="267">
        <v>130</v>
      </c>
      <c r="J66" s="279">
        <v>205</v>
      </c>
      <c r="K66" s="267">
        <v>180</v>
      </c>
      <c r="L66" s="282">
        <v>230</v>
      </c>
      <c r="M66" s="267">
        <v>225</v>
      </c>
      <c r="N66" s="267">
        <v>165</v>
      </c>
    </row>
    <row r="67" spans="2:15" x14ac:dyDescent="0.25">
      <c r="B67" s="235" t="s">
        <v>25</v>
      </c>
      <c r="C67" s="500"/>
      <c r="D67" s="506"/>
      <c r="E67" s="267">
        <v>65</v>
      </c>
      <c r="F67" s="267">
        <v>74</v>
      </c>
      <c r="G67" s="267">
        <v>84</v>
      </c>
      <c r="H67" s="267">
        <v>400</v>
      </c>
      <c r="I67" s="267">
        <v>100</v>
      </c>
      <c r="J67" s="279">
        <v>130</v>
      </c>
      <c r="K67" s="267">
        <v>110</v>
      </c>
      <c r="L67" s="282">
        <v>100</v>
      </c>
      <c r="M67" s="267">
        <v>140</v>
      </c>
      <c r="N67" s="267">
        <v>125</v>
      </c>
    </row>
    <row r="68" spans="2:15" ht="15.75" thickBot="1" x14ac:dyDescent="0.3">
      <c r="B68" s="236" t="s">
        <v>32</v>
      </c>
      <c r="C68" s="501"/>
      <c r="D68" s="507"/>
      <c r="E68" s="233">
        <v>62</v>
      </c>
      <c r="F68" s="268">
        <v>66</v>
      </c>
      <c r="G68" s="268">
        <v>87</v>
      </c>
      <c r="H68" s="277">
        <v>540</v>
      </c>
      <c r="I68" s="268">
        <v>125</v>
      </c>
      <c r="J68" s="280">
        <v>120</v>
      </c>
      <c r="K68" s="268">
        <v>85</v>
      </c>
      <c r="L68" s="283">
        <v>95</v>
      </c>
      <c r="M68" s="268">
        <v>125</v>
      </c>
      <c r="N68" s="268">
        <v>130</v>
      </c>
    </row>
    <row r="69" spans="2:15" ht="15.75" thickBot="1" x14ac:dyDescent="0.3"/>
    <row r="70" spans="2:15" ht="15.75" thickBot="1" x14ac:dyDescent="0.3">
      <c r="B70" s="510" t="s">
        <v>359</v>
      </c>
      <c r="C70" s="511"/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2"/>
    </row>
    <row r="71" spans="2:15" ht="15.75" thickBot="1" x14ac:dyDescent="0.3">
      <c r="B71" s="487" t="s">
        <v>346</v>
      </c>
      <c r="C71" s="497" t="s">
        <v>33</v>
      </c>
      <c r="D71" s="516"/>
      <c r="E71" s="237" t="s">
        <v>337</v>
      </c>
      <c r="F71" s="237" t="s">
        <v>84</v>
      </c>
      <c r="G71" s="237" t="s">
        <v>338</v>
      </c>
      <c r="H71" s="237" t="s">
        <v>339</v>
      </c>
      <c r="I71" s="237" t="s">
        <v>340</v>
      </c>
      <c r="J71" s="237" t="s">
        <v>341</v>
      </c>
      <c r="K71" s="237" t="s">
        <v>342</v>
      </c>
      <c r="L71" s="237" t="s">
        <v>343</v>
      </c>
      <c r="M71" s="237" t="s">
        <v>344</v>
      </c>
      <c r="N71" s="237" t="s">
        <v>355</v>
      </c>
    </row>
    <row r="72" spans="2:15" ht="15.75" thickBot="1" x14ac:dyDescent="0.3">
      <c r="B72" s="488"/>
      <c r="C72" s="260" t="s">
        <v>298</v>
      </c>
      <c r="D72" s="261" t="s">
        <v>297</v>
      </c>
      <c r="E72" s="240" t="s">
        <v>24</v>
      </c>
      <c r="F72" s="240" t="s">
        <v>24</v>
      </c>
      <c r="G72" s="240" t="s">
        <v>24</v>
      </c>
      <c r="H72" s="240" t="s">
        <v>24</v>
      </c>
      <c r="I72" s="240" t="s">
        <v>24</v>
      </c>
      <c r="J72" s="240" t="s">
        <v>24</v>
      </c>
      <c r="K72" s="240" t="s">
        <v>24</v>
      </c>
      <c r="L72" s="240" t="s">
        <v>24</v>
      </c>
      <c r="M72" s="240" t="s">
        <v>24</v>
      </c>
      <c r="N72" s="240" t="s">
        <v>24</v>
      </c>
    </row>
    <row r="73" spans="2:15" x14ac:dyDescent="0.25">
      <c r="B73" s="234" t="s">
        <v>27</v>
      </c>
      <c r="C73" s="500">
        <v>500</v>
      </c>
      <c r="D73" s="506" t="s">
        <v>350</v>
      </c>
      <c r="E73" s="243">
        <v>5.9</v>
      </c>
      <c r="F73" s="285">
        <v>976</v>
      </c>
      <c r="G73" s="243">
        <v>52.800000000000004</v>
      </c>
      <c r="H73" s="243">
        <v>331.2</v>
      </c>
      <c r="I73" s="243"/>
      <c r="J73" s="243"/>
      <c r="K73" s="243"/>
      <c r="L73" s="243"/>
      <c r="M73" s="243">
        <v>341.89398000000006</v>
      </c>
      <c r="N73" s="243">
        <v>191.94047999999998</v>
      </c>
      <c r="O73" s="51">
        <f>MAX(E73:N79)</f>
        <v>976</v>
      </c>
    </row>
    <row r="74" spans="2:15" x14ac:dyDescent="0.25">
      <c r="B74" s="235" t="s">
        <v>28</v>
      </c>
      <c r="C74" s="500"/>
      <c r="D74" s="506"/>
      <c r="E74" s="243">
        <v>6.9</v>
      </c>
      <c r="F74" s="243">
        <v>698</v>
      </c>
      <c r="G74" s="243">
        <v>51.900000000000006</v>
      </c>
      <c r="H74" s="243">
        <v>76.400000000000006</v>
      </c>
      <c r="I74" s="243"/>
      <c r="J74" s="243"/>
      <c r="K74" s="243"/>
      <c r="L74" s="243"/>
      <c r="M74" s="243">
        <v>352.39072500000003</v>
      </c>
      <c r="N74" s="243">
        <v>229.428855</v>
      </c>
      <c r="O74" s="51">
        <f>MIN(E73:N79)</f>
        <v>3.3</v>
      </c>
    </row>
    <row r="75" spans="2:15" x14ac:dyDescent="0.25">
      <c r="B75" s="235" t="s">
        <v>29</v>
      </c>
      <c r="C75" s="500"/>
      <c r="D75" s="506"/>
      <c r="E75" s="286">
        <v>3.3</v>
      </c>
      <c r="F75" s="243">
        <v>907</v>
      </c>
      <c r="G75" s="243">
        <v>15</v>
      </c>
      <c r="H75" s="243">
        <v>26.8</v>
      </c>
      <c r="I75" s="243"/>
      <c r="J75" s="243"/>
      <c r="K75" s="243"/>
      <c r="L75" s="243"/>
      <c r="M75" s="243">
        <v>278.91350999999997</v>
      </c>
      <c r="N75" s="243">
        <v>278.91350999999997</v>
      </c>
    </row>
    <row r="76" spans="2:15" x14ac:dyDescent="0.25">
      <c r="B76" s="235" t="s">
        <v>30</v>
      </c>
      <c r="C76" s="500"/>
      <c r="D76" s="506"/>
      <c r="E76" s="243">
        <v>5.6</v>
      </c>
      <c r="F76" s="243">
        <v>850</v>
      </c>
      <c r="G76" s="243">
        <v>23.700000000000003</v>
      </c>
      <c r="H76" s="243">
        <v>46.4</v>
      </c>
      <c r="I76" s="243"/>
      <c r="J76" s="243"/>
      <c r="K76" s="243"/>
      <c r="L76" s="243"/>
      <c r="M76" s="243">
        <v>200.93769</v>
      </c>
      <c r="N76" s="243">
        <v>185.94234</v>
      </c>
    </row>
    <row r="77" spans="2:15" x14ac:dyDescent="0.25">
      <c r="B77" s="235" t="s">
        <v>31</v>
      </c>
      <c r="C77" s="500"/>
      <c r="D77" s="506"/>
      <c r="E77" s="243">
        <v>7.9</v>
      </c>
      <c r="F77" s="243">
        <v>630</v>
      </c>
      <c r="G77" s="243">
        <v>30.900000000000002</v>
      </c>
      <c r="H77" s="243">
        <v>43.2</v>
      </c>
      <c r="I77" s="243"/>
      <c r="J77" s="243"/>
      <c r="K77" s="243"/>
      <c r="L77" s="243"/>
      <c r="M77" s="243">
        <v>182.94326999999998</v>
      </c>
      <c r="N77" s="243">
        <v>182.94326999999998</v>
      </c>
    </row>
    <row r="78" spans="2:15" x14ac:dyDescent="0.25">
      <c r="B78" s="235" t="s">
        <v>25</v>
      </c>
      <c r="C78" s="500"/>
      <c r="D78" s="506"/>
      <c r="E78" s="243">
        <v>4.3</v>
      </c>
      <c r="F78" s="243">
        <v>143</v>
      </c>
      <c r="G78" s="243">
        <v>7.5</v>
      </c>
      <c r="H78" s="243">
        <v>157.6</v>
      </c>
      <c r="I78" s="243"/>
      <c r="J78" s="243"/>
      <c r="K78" s="243"/>
      <c r="L78" s="243"/>
      <c r="M78" s="243">
        <v>71.977679999999992</v>
      </c>
      <c r="N78" s="243">
        <v>50.984189999999998</v>
      </c>
    </row>
    <row r="79" spans="2:15" ht="15.75" thickBot="1" x14ac:dyDescent="0.3">
      <c r="B79" s="236" t="s">
        <v>32</v>
      </c>
      <c r="C79" s="501"/>
      <c r="D79" s="507"/>
      <c r="E79" s="244">
        <v>4.4000000000000004</v>
      </c>
      <c r="F79" s="244">
        <v>117</v>
      </c>
      <c r="G79" s="244">
        <v>13.5</v>
      </c>
      <c r="H79" s="244">
        <v>22.4</v>
      </c>
      <c r="I79" s="244"/>
      <c r="J79" s="244"/>
      <c r="K79" s="244"/>
      <c r="L79" s="244"/>
      <c r="M79" s="244">
        <v>38.987909999999999</v>
      </c>
      <c r="N79" s="244">
        <v>41.986979999999988</v>
      </c>
    </row>
    <row r="80" spans="2:15" ht="15.75" thickBot="1" x14ac:dyDescent="0.3"/>
    <row r="81" spans="2:15" ht="15.75" thickBot="1" x14ac:dyDescent="0.3">
      <c r="B81" s="510" t="s">
        <v>360</v>
      </c>
      <c r="C81" s="511"/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2"/>
    </row>
    <row r="82" spans="2:15" ht="15.75" thickBot="1" x14ac:dyDescent="0.3">
      <c r="B82" s="487" t="s">
        <v>346</v>
      </c>
      <c r="C82" s="497" t="s">
        <v>33</v>
      </c>
      <c r="D82" s="498"/>
      <c r="E82" s="290" t="s">
        <v>337</v>
      </c>
      <c r="F82" s="290" t="s">
        <v>84</v>
      </c>
      <c r="G82" s="290" t="s">
        <v>338</v>
      </c>
      <c r="H82" s="290" t="s">
        <v>339</v>
      </c>
      <c r="I82" s="290" t="s">
        <v>340</v>
      </c>
      <c r="J82" s="290" t="s">
        <v>341</v>
      </c>
      <c r="K82" s="290" t="s">
        <v>342</v>
      </c>
      <c r="L82" s="290" t="s">
        <v>343</v>
      </c>
      <c r="M82" s="290" t="s">
        <v>344</v>
      </c>
      <c r="N82" s="290" t="s">
        <v>355</v>
      </c>
    </row>
    <row r="83" spans="2:15" ht="15.75" thickBot="1" x14ac:dyDescent="0.3">
      <c r="B83" s="488"/>
      <c r="C83" s="260" t="s">
        <v>298</v>
      </c>
      <c r="D83" s="257" t="s">
        <v>297</v>
      </c>
      <c r="E83" s="237" t="s">
        <v>24</v>
      </c>
      <c r="F83" s="237" t="s">
        <v>24</v>
      </c>
      <c r="G83" s="237" t="s">
        <v>24</v>
      </c>
      <c r="H83" s="237" t="s">
        <v>24</v>
      </c>
      <c r="I83" s="237" t="s">
        <v>24</v>
      </c>
      <c r="J83" s="237" t="s">
        <v>24</v>
      </c>
      <c r="K83" s="237" t="s">
        <v>24</v>
      </c>
      <c r="L83" s="237" t="s">
        <v>24</v>
      </c>
      <c r="M83" s="237" t="s">
        <v>24</v>
      </c>
      <c r="N83" s="237" t="s">
        <v>24</v>
      </c>
    </row>
    <row r="84" spans="2:15" x14ac:dyDescent="0.25">
      <c r="B84" s="234" t="s">
        <v>27</v>
      </c>
      <c r="C84" s="500">
        <v>100</v>
      </c>
      <c r="D84" s="503">
        <v>100</v>
      </c>
      <c r="E84" s="275">
        <v>5.4</v>
      </c>
      <c r="F84" s="275">
        <v>6.8</v>
      </c>
      <c r="G84" s="275">
        <v>9.8000000000000007</v>
      </c>
      <c r="H84" s="275" t="s">
        <v>323</v>
      </c>
      <c r="I84" s="275">
        <v>4.3</v>
      </c>
      <c r="J84" s="275">
        <v>3.1</v>
      </c>
      <c r="K84" s="275">
        <v>5.4</v>
      </c>
      <c r="L84" s="275">
        <v>12.4</v>
      </c>
      <c r="M84" s="275">
        <v>10.8</v>
      </c>
      <c r="N84" s="275">
        <v>9.1999999999999993</v>
      </c>
      <c r="O84" s="51">
        <f>MAX(E84:N90)</f>
        <v>13.7</v>
      </c>
    </row>
    <row r="85" spans="2:15" x14ac:dyDescent="0.25">
      <c r="B85" s="235" t="s">
        <v>28</v>
      </c>
      <c r="C85" s="500"/>
      <c r="D85" s="503"/>
      <c r="E85" s="275">
        <v>6.5</v>
      </c>
      <c r="F85" s="275">
        <v>5.5</v>
      </c>
      <c r="G85" s="275">
        <v>7</v>
      </c>
      <c r="H85" s="275">
        <v>6.5</v>
      </c>
      <c r="I85" s="275">
        <v>5.3</v>
      </c>
      <c r="J85" s="275">
        <v>4.0999999999999996</v>
      </c>
      <c r="K85" s="275">
        <v>4.7</v>
      </c>
      <c r="L85" s="275">
        <v>11.6</v>
      </c>
      <c r="M85" s="275">
        <v>10.199999999999999</v>
      </c>
      <c r="N85" s="275">
        <v>9.5</v>
      </c>
      <c r="O85" s="51">
        <f>MIN(E84:N90)</f>
        <v>0.5</v>
      </c>
    </row>
    <row r="86" spans="2:15" x14ac:dyDescent="0.25">
      <c r="B86" s="235" t="s">
        <v>29</v>
      </c>
      <c r="C86" s="500"/>
      <c r="D86" s="503"/>
      <c r="E86" s="275">
        <v>5.6</v>
      </c>
      <c r="F86" s="275">
        <v>5</v>
      </c>
      <c r="G86" s="275">
        <v>5.7</v>
      </c>
      <c r="H86" s="275">
        <v>5.6</v>
      </c>
      <c r="I86" s="275">
        <v>5.5</v>
      </c>
      <c r="J86" s="275">
        <v>3.1</v>
      </c>
      <c r="K86" s="275">
        <v>5.0999999999999996</v>
      </c>
      <c r="L86" s="275">
        <v>12.6</v>
      </c>
      <c r="M86" s="275">
        <v>9.3000000000000007</v>
      </c>
      <c r="N86" s="275">
        <v>9.3000000000000007</v>
      </c>
    </row>
    <row r="87" spans="2:15" x14ac:dyDescent="0.25">
      <c r="B87" s="235" t="s">
        <v>30</v>
      </c>
      <c r="C87" s="500"/>
      <c r="D87" s="503"/>
      <c r="E87" s="275">
        <v>5.2</v>
      </c>
      <c r="F87" s="275">
        <v>4.2</v>
      </c>
      <c r="G87" s="275">
        <v>2</v>
      </c>
      <c r="H87" s="275">
        <v>3.5</v>
      </c>
      <c r="I87" s="275">
        <v>5.2</v>
      </c>
      <c r="J87" s="275">
        <v>3.2</v>
      </c>
      <c r="K87" s="275">
        <v>5</v>
      </c>
      <c r="L87" s="275">
        <v>12.3</v>
      </c>
      <c r="M87" s="275">
        <v>9.5</v>
      </c>
      <c r="N87" s="275">
        <v>8.3000000000000007</v>
      </c>
    </row>
    <row r="88" spans="2:15" x14ac:dyDescent="0.25">
      <c r="B88" s="235" t="s">
        <v>31</v>
      </c>
      <c r="C88" s="500"/>
      <c r="D88" s="503"/>
      <c r="E88" s="275">
        <v>6.5</v>
      </c>
      <c r="F88" s="275">
        <v>3.1</v>
      </c>
      <c r="G88" s="275">
        <v>4.8</v>
      </c>
      <c r="H88" s="275">
        <v>4.2</v>
      </c>
      <c r="I88" s="275">
        <v>3.9</v>
      </c>
      <c r="J88" s="275">
        <v>3.4</v>
      </c>
      <c r="K88" s="275">
        <v>4.9000000000000004</v>
      </c>
      <c r="L88" s="293">
        <v>13.7</v>
      </c>
      <c r="M88" s="275">
        <v>8.8000000000000007</v>
      </c>
      <c r="N88" s="275">
        <v>8.8000000000000007</v>
      </c>
    </row>
    <row r="89" spans="2:15" x14ac:dyDescent="0.25">
      <c r="B89" s="235" t="s">
        <v>25</v>
      </c>
      <c r="C89" s="500"/>
      <c r="D89" s="503"/>
      <c r="E89" s="275">
        <v>3.4</v>
      </c>
      <c r="F89" s="275">
        <v>0.7</v>
      </c>
      <c r="G89" s="275">
        <v>2.6</v>
      </c>
      <c r="H89" s="275">
        <v>7.8</v>
      </c>
      <c r="I89" s="275">
        <v>0.8</v>
      </c>
      <c r="J89" s="292">
        <v>0.5</v>
      </c>
      <c r="K89" s="275">
        <v>1.1000000000000001</v>
      </c>
      <c r="L89" s="275">
        <v>10.3</v>
      </c>
      <c r="M89" s="275">
        <v>7.6</v>
      </c>
      <c r="N89" s="275">
        <v>1.3</v>
      </c>
    </row>
    <row r="90" spans="2:15" ht="15.75" thickBot="1" x14ac:dyDescent="0.3">
      <c r="B90" s="236" t="s">
        <v>32</v>
      </c>
      <c r="C90" s="501"/>
      <c r="D90" s="504"/>
      <c r="E90" s="291">
        <v>4.5999999999999996</v>
      </c>
      <c r="F90" s="291">
        <v>1</v>
      </c>
      <c r="G90" s="291">
        <v>1.5</v>
      </c>
      <c r="H90" s="291">
        <v>10</v>
      </c>
      <c r="I90" s="291">
        <v>1.1000000000000001</v>
      </c>
      <c r="J90" s="291">
        <v>1</v>
      </c>
      <c r="K90" s="291">
        <v>1.2</v>
      </c>
      <c r="L90" s="291">
        <v>11.2</v>
      </c>
      <c r="M90" s="291">
        <v>5</v>
      </c>
      <c r="N90" s="291">
        <v>0.9</v>
      </c>
    </row>
    <row r="91" spans="2:15" ht="15.75" thickBot="1" x14ac:dyDescent="0.3"/>
    <row r="92" spans="2:15" ht="15.75" thickBot="1" x14ac:dyDescent="0.3">
      <c r="B92" s="522" t="s">
        <v>361</v>
      </c>
      <c r="C92" s="520"/>
      <c r="D92" s="520"/>
      <c r="E92" s="520"/>
      <c r="F92" s="520"/>
      <c r="G92" s="520"/>
      <c r="H92" s="520"/>
      <c r="I92" s="520"/>
      <c r="J92" s="520"/>
      <c r="K92" s="520"/>
      <c r="L92" s="520"/>
      <c r="M92" s="520"/>
      <c r="N92" s="523"/>
    </row>
    <row r="93" spans="2:15" ht="15.75" thickBot="1" x14ac:dyDescent="0.3">
      <c r="B93" s="487" t="s">
        <v>346</v>
      </c>
      <c r="C93" s="497" t="s">
        <v>33</v>
      </c>
      <c r="D93" s="516"/>
      <c r="E93" s="234" t="s">
        <v>337</v>
      </c>
      <c r="F93" s="234" t="s">
        <v>84</v>
      </c>
      <c r="G93" s="234" t="s">
        <v>338</v>
      </c>
      <c r="H93" s="234" t="s">
        <v>339</v>
      </c>
      <c r="I93" s="234" t="s">
        <v>340</v>
      </c>
      <c r="J93" s="303" t="s">
        <v>341</v>
      </c>
      <c r="K93" s="237" t="s">
        <v>342</v>
      </c>
      <c r="L93" s="306" t="s">
        <v>343</v>
      </c>
      <c r="M93" s="237" t="s">
        <v>344</v>
      </c>
      <c r="N93" s="307" t="s">
        <v>355</v>
      </c>
    </row>
    <row r="94" spans="2:15" ht="15.75" thickBot="1" x14ac:dyDescent="0.3">
      <c r="B94" s="524"/>
      <c r="C94" s="260" t="s">
        <v>298</v>
      </c>
      <c r="D94" s="261" t="s">
        <v>297</v>
      </c>
      <c r="E94" s="237" t="s">
        <v>24</v>
      </c>
      <c r="F94" s="237" t="s">
        <v>24</v>
      </c>
      <c r="G94" s="237" t="s">
        <v>24</v>
      </c>
      <c r="H94" s="237" t="s">
        <v>24</v>
      </c>
      <c r="I94" s="237" t="s">
        <v>24</v>
      </c>
      <c r="J94" s="287" t="s">
        <v>24</v>
      </c>
      <c r="K94" s="237" t="s">
        <v>24</v>
      </c>
      <c r="L94" s="288" t="s">
        <v>24</v>
      </c>
      <c r="M94" s="237" t="s">
        <v>24</v>
      </c>
      <c r="N94" s="289" t="s">
        <v>24</v>
      </c>
    </row>
    <row r="95" spans="2:15" x14ac:dyDescent="0.25">
      <c r="B95" s="235" t="s">
        <v>27</v>
      </c>
      <c r="C95" s="500">
        <v>10</v>
      </c>
      <c r="D95" s="506">
        <v>10</v>
      </c>
      <c r="E95" s="275">
        <v>11</v>
      </c>
      <c r="F95" s="275"/>
      <c r="G95" s="275"/>
      <c r="H95" s="275"/>
      <c r="I95" s="275"/>
      <c r="J95" s="304"/>
      <c r="K95" s="309"/>
      <c r="L95" s="299"/>
      <c r="M95" s="309">
        <v>5</v>
      </c>
      <c r="N95" s="301">
        <v>12</v>
      </c>
      <c r="O95" s="51">
        <f>MAX(E95:N101)</f>
        <v>30</v>
      </c>
    </row>
    <row r="96" spans="2:15" x14ac:dyDescent="0.25">
      <c r="B96" s="235" t="s">
        <v>28</v>
      </c>
      <c r="C96" s="500"/>
      <c r="D96" s="506"/>
      <c r="E96" s="275">
        <v>13</v>
      </c>
      <c r="F96" s="275"/>
      <c r="G96" s="275"/>
      <c r="H96" s="275"/>
      <c r="I96" s="275"/>
      <c r="J96" s="304"/>
      <c r="K96" s="275"/>
      <c r="L96" s="299"/>
      <c r="M96" s="275">
        <v>8</v>
      </c>
      <c r="N96" s="301">
        <v>16</v>
      </c>
      <c r="O96" s="51">
        <f>MIN(E95:N101)</f>
        <v>5</v>
      </c>
    </row>
    <row r="97" spans="2:15" x14ac:dyDescent="0.25">
      <c r="B97" s="235" t="s">
        <v>29</v>
      </c>
      <c r="C97" s="500"/>
      <c r="D97" s="506"/>
      <c r="E97" s="275">
        <v>9</v>
      </c>
      <c r="F97" s="275"/>
      <c r="G97" s="275"/>
      <c r="H97" s="275"/>
      <c r="I97" s="275"/>
      <c r="J97" s="304"/>
      <c r="K97" s="275"/>
      <c r="L97" s="299"/>
      <c r="M97" s="275">
        <v>7</v>
      </c>
      <c r="N97" s="301">
        <v>18</v>
      </c>
    </row>
    <row r="98" spans="2:15" x14ac:dyDescent="0.25">
      <c r="B98" s="235" t="s">
        <v>30</v>
      </c>
      <c r="C98" s="500"/>
      <c r="D98" s="506"/>
      <c r="E98" s="275">
        <v>14</v>
      </c>
      <c r="F98" s="275"/>
      <c r="G98" s="275"/>
      <c r="H98" s="275"/>
      <c r="I98" s="275"/>
      <c r="J98" s="304"/>
      <c r="K98" s="275"/>
      <c r="L98" s="299"/>
      <c r="M98" s="275">
        <v>10</v>
      </c>
      <c r="N98" s="301">
        <v>10</v>
      </c>
    </row>
    <row r="99" spans="2:15" x14ac:dyDescent="0.25">
      <c r="B99" s="235" t="s">
        <v>31</v>
      </c>
      <c r="C99" s="500"/>
      <c r="D99" s="506"/>
      <c r="E99" s="275">
        <v>20</v>
      </c>
      <c r="F99" s="275"/>
      <c r="G99" s="275"/>
      <c r="H99" s="275"/>
      <c r="I99" s="275"/>
      <c r="J99" s="304"/>
      <c r="K99" s="275"/>
      <c r="L99" s="299"/>
      <c r="M99" s="292">
        <v>5</v>
      </c>
      <c r="N99" s="301">
        <v>12</v>
      </c>
    </row>
    <row r="100" spans="2:15" x14ac:dyDescent="0.25">
      <c r="B100" s="235" t="s">
        <v>25</v>
      </c>
      <c r="C100" s="500"/>
      <c r="D100" s="506"/>
      <c r="E100" s="275">
        <v>14</v>
      </c>
      <c r="F100" s="275"/>
      <c r="G100" s="275"/>
      <c r="H100" s="275"/>
      <c r="I100" s="275"/>
      <c r="J100" s="304"/>
      <c r="K100" s="275"/>
      <c r="L100" s="299"/>
      <c r="M100" s="275">
        <v>8</v>
      </c>
      <c r="N100" s="301">
        <v>17</v>
      </c>
    </row>
    <row r="101" spans="2:15" ht="15.75" thickBot="1" x14ac:dyDescent="0.3">
      <c r="B101" s="236" t="s">
        <v>32</v>
      </c>
      <c r="C101" s="501"/>
      <c r="D101" s="507"/>
      <c r="E101" s="302">
        <v>30</v>
      </c>
      <c r="F101" s="291"/>
      <c r="G101" s="291"/>
      <c r="H101" s="291"/>
      <c r="I101" s="291"/>
      <c r="J101" s="305"/>
      <c r="K101" s="291"/>
      <c r="L101" s="300"/>
      <c r="M101" s="291">
        <v>6</v>
      </c>
      <c r="N101" s="308">
        <v>9</v>
      </c>
    </row>
    <row r="102" spans="2:15" ht="15.75" thickBot="1" x14ac:dyDescent="0.3"/>
    <row r="103" spans="2:15" ht="15.75" thickBot="1" x14ac:dyDescent="0.3">
      <c r="B103" s="510" t="s">
        <v>362</v>
      </c>
      <c r="C103" s="511"/>
      <c r="D103" s="511"/>
      <c r="E103" s="511"/>
      <c r="F103" s="511"/>
      <c r="G103" s="511"/>
      <c r="H103" s="511"/>
      <c r="I103" s="511"/>
      <c r="J103" s="511"/>
      <c r="K103" s="511"/>
      <c r="L103" s="511"/>
      <c r="M103" s="511"/>
      <c r="N103" s="512"/>
    </row>
    <row r="104" spans="2:15" ht="15.75" thickBot="1" x14ac:dyDescent="0.3">
      <c r="B104" s="487" t="s">
        <v>346</v>
      </c>
      <c r="C104" s="497" t="s">
        <v>33</v>
      </c>
      <c r="D104" s="516"/>
      <c r="E104" s="310" t="s">
        <v>337</v>
      </c>
      <c r="F104" s="241" t="s">
        <v>84</v>
      </c>
      <c r="G104" s="241" t="s">
        <v>338</v>
      </c>
      <c r="H104" s="241" t="s">
        <v>339</v>
      </c>
      <c r="I104" s="241" t="s">
        <v>340</v>
      </c>
      <c r="J104" s="311" t="s">
        <v>341</v>
      </c>
      <c r="K104" s="240" t="s">
        <v>342</v>
      </c>
      <c r="L104" s="284" t="s">
        <v>343</v>
      </c>
      <c r="M104" s="240" t="s">
        <v>344</v>
      </c>
      <c r="N104" s="310" t="s">
        <v>355</v>
      </c>
    </row>
    <row r="105" spans="2:15" ht="15.75" thickBot="1" x14ac:dyDescent="0.3">
      <c r="B105" s="488"/>
      <c r="C105" s="260" t="s">
        <v>298</v>
      </c>
      <c r="D105" s="261" t="s">
        <v>297</v>
      </c>
      <c r="E105" s="289" t="s">
        <v>24</v>
      </c>
      <c r="F105" s="237" t="s">
        <v>24</v>
      </c>
      <c r="G105" s="237" t="s">
        <v>24</v>
      </c>
      <c r="H105" s="237" t="s">
        <v>24</v>
      </c>
      <c r="I105" s="237" t="s">
        <v>24</v>
      </c>
      <c r="J105" s="287" t="s">
        <v>24</v>
      </c>
      <c r="K105" s="237" t="s">
        <v>24</v>
      </c>
      <c r="L105" s="288" t="s">
        <v>24</v>
      </c>
      <c r="M105" s="237" t="s">
        <v>24</v>
      </c>
      <c r="N105" s="289" t="s">
        <v>24</v>
      </c>
    </row>
    <row r="106" spans="2:15" x14ac:dyDescent="0.25">
      <c r="B106" s="234" t="s">
        <v>27</v>
      </c>
      <c r="C106" s="500">
        <v>0.2</v>
      </c>
      <c r="D106" s="503">
        <v>0.5</v>
      </c>
      <c r="E106" s="271">
        <v>0.84</v>
      </c>
      <c r="F106" s="271">
        <v>1.53</v>
      </c>
      <c r="G106" s="271">
        <v>3.71</v>
      </c>
      <c r="H106" s="271">
        <v>2.9</v>
      </c>
      <c r="I106" s="271">
        <v>0.06</v>
      </c>
      <c r="J106" s="271">
        <v>0.39</v>
      </c>
      <c r="K106" s="271">
        <v>0.26300000000000001</v>
      </c>
      <c r="L106" s="271">
        <v>0.51</v>
      </c>
      <c r="M106" s="271">
        <v>1.38</v>
      </c>
      <c r="N106" s="271">
        <v>2.1800000000000002</v>
      </c>
      <c r="O106" s="51">
        <f>MAX(E106:N112)</f>
        <v>9.24</v>
      </c>
    </row>
    <row r="107" spans="2:15" x14ac:dyDescent="0.25">
      <c r="B107" s="235" t="s">
        <v>28</v>
      </c>
      <c r="C107" s="500"/>
      <c r="D107" s="503"/>
      <c r="E107" s="274">
        <v>1.58</v>
      </c>
      <c r="F107" s="274">
        <v>2.4700000000000002</v>
      </c>
      <c r="G107" s="274">
        <v>4.75</v>
      </c>
      <c r="H107" s="274">
        <v>3.16</v>
      </c>
      <c r="I107" s="274">
        <v>0.97</v>
      </c>
      <c r="J107" s="274">
        <v>0.56000000000000005</v>
      </c>
      <c r="K107" s="274">
        <v>0.36399999999999999</v>
      </c>
      <c r="L107" s="274">
        <v>0.62</v>
      </c>
      <c r="M107" s="274">
        <v>1.7</v>
      </c>
      <c r="N107" s="274">
        <v>2.17</v>
      </c>
      <c r="O107" s="51">
        <f>MIN(E106:N112)</f>
        <v>0.03</v>
      </c>
    </row>
    <row r="108" spans="2:15" x14ac:dyDescent="0.25">
      <c r="B108" s="235" t="s">
        <v>29</v>
      </c>
      <c r="C108" s="500"/>
      <c r="D108" s="503"/>
      <c r="E108" s="274">
        <v>1.08</v>
      </c>
      <c r="F108" s="274">
        <v>1.24</v>
      </c>
      <c r="G108" s="274">
        <v>4.07</v>
      </c>
      <c r="H108" s="274">
        <v>3.62</v>
      </c>
      <c r="I108" s="274">
        <v>0.16</v>
      </c>
      <c r="J108" s="274">
        <v>0.76</v>
      </c>
      <c r="K108" s="274">
        <v>0.33</v>
      </c>
      <c r="L108" s="274">
        <v>0.39300000000000002</v>
      </c>
      <c r="M108" s="274">
        <v>1.92</v>
      </c>
      <c r="N108" s="274">
        <v>2.4</v>
      </c>
    </row>
    <row r="109" spans="2:15" x14ac:dyDescent="0.25">
      <c r="B109" s="235" t="s">
        <v>30</v>
      </c>
      <c r="C109" s="500"/>
      <c r="D109" s="503"/>
      <c r="E109" s="274">
        <v>1.1100000000000001</v>
      </c>
      <c r="F109" s="274">
        <v>1.3</v>
      </c>
      <c r="G109" s="313">
        <v>9.24</v>
      </c>
      <c r="H109" s="274">
        <v>4.21</v>
      </c>
      <c r="I109" s="274">
        <v>0.28999999999999998</v>
      </c>
      <c r="J109" s="274">
        <v>0.28999999999999998</v>
      </c>
      <c r="K109" s="274">
        <v>0.28999999999999998</v>
      </c>
      <c r="L109" s="274">
        <v>0.6</v>
      </c>
      <c r="M109" s="274">
        <v>1.69</v>
      </c>
      <c r="N109" s="274">
        <v>2.35</v>
      </c>
    </row>
    <row r="110" spans="2:15" x14ac:dyDescent="0.25">
      <c r="B110" s="235" t="s">
        <v>31</v>
      </c>
      <c r="C110" s="500"/>
      <c r="D110" s="503"/>
      <c r="E110" s="274">
        <v>0.67</v>
      </c>
      <c r="F110" s="274">
        <v>1.1100000000000001</v>
      </c>
      <c r="G110" s="274">
        <v>3.01</v>
      </c>
      <c r="H110" s="274">
        <v>3.51</v>
      </c>
      <c r="I110" s="274">
        <v>0.31</v>
      </c>
      <c r="J110" s="274">
        <v>0.96</v>
      </c>
      <c r="K110" s="274">
        <v>0.29699999999999999</v>
      </c>
      <c r="L110" s="274">
        <v>0.21</v>
      </c>
      <c r="M110" s="274">
        <v>1.1100000000000001</v>
      </c>
      <c r="N110" s="274">
        <v>0.34</v>
      </c>
    </row>
    <row r="111" spans="2:15" x14ac:dyDescent="0.25">
      <c r="B111" s="235" t="s">
        <v>25</v>
      </c>
      <c r="C111" s="500"/>
      <c r="D111" s="503"/>
      <c r="E111" s="274">
        <v>0.33</v>
      </c>
      <c r="F111" s="274">
        <v>0.2</v>
      </c>
      <c r="G111" s="274">
        <v>0.41</v>
      </c>
      <c r="H111" s="274">
        <v>0.21</v>
      </c>
      <c r="I111" s="314">
        <v>0.03</v>
      </c>
      <c r="J111" s="274">
        <v>0.08</v>
      </c>
      <c r="K111" s="274">
        <v>0.21</v>
      </c>
      <c r="L111" s="274">
        <v>0.38100000000000001</v>
      </c>
      <c r="M111" s="274">
        <v>0.11</v>
      </c>
      <c r="N111" s="274">
        <v>0.2</v>
      </c>
    </row>
    <row r="112" spans="2:15" ht="15.75" thickBot="1" x14ac:dyDescent="0.3">
      <c r="B112" s="236" t="s">
        <v>32</v>
      </c>
      <c r="C112" s="501"/>
      <c r="D112" s="504"/>
      <c r="E112" s="312">
        <v>0.39</v>
      </c>
      <c r="F112" s="312">
        <v>0.47</v>
      </c>
      <c r="G112" s="312">
        <v>0.78</v>
      </c>
      <c r="H112" s="312">
        <v>0.39</v>
      </c>
      <c r="I112" s="312">
        <v>0.81</v>
      </c>
      <c r="J112" s="312">
        <v>0.04</v>
      </c>
      <c r="K112" s="312">
        <v>0.24</v>
      </c>
      <c r="L112" s="312">
        <v>0.44</v>
      </c>
      <c r="M112" s="312">
        <v>0.1</v>
      </c>
      <c r="N112" s="312">
        <v>0.12</v>
      </c>
    </row>
    <row r="113" spans="2:15" ht="15.75" thickBot="1" x14ac:dyDescent="0.3"/>
    <row r="114" spans="2:15" ht="15.75" thickBot="1" x14ac:dyDescent="0.3">
      <c r="B114" s="510" t="s">
        <v>363</v>
      </c>
      <c r="C114" s="511"/>
      <c r="D114" s="511"/>
      <c r="E114" s="511"/>
      <c r="F114" s="511"/>
      <c r="G114" s="511"/>
      <c r="H114" s="511"/>
      <c r="I114" s="511"/>
      <c r="J114" s="511"/>
      <c r="K114" s="511"/>
      <c r="L114" s="511"/>
      <c r="M114" s="511"/>
      <c r="N114" s="512"/>
    </row>
    <row r="115" spans="2:15" ht="15.75" thickBot="1" x14ac:dyDescent="0.3">
      <c r="B115" s="487" t="s">
        <v>346</v>
      </c>
      <c r="C115" s="497" t="s">
        <v>33</v>
      </c>
      <c r="D115" s="516"/>
      <c r="E115" s="310" t="s">
        <v>337</v>
      </c>
      <c r="F115" s="241" t="s">
        <v>84</v>
      </c>
      <c r="G115" s="241" t="s">
        <v>338</v>
      </c>
      <c r="H115" s="241" t="s">
        <v>339</v>
      </c>
      <c r="I115" s="241" t="s">
        <v>340</v>
      </c>
      <c r="J115" s="311" t="s">
        <v>341</v>
      </c>
      <c r="K115" s="240" t="s">
        <v>342</v>
      </c>
      <c r="L115" s="284" t="s">
        <v>343</v>
      </c>
      <c r="M115" s="240" t="s">
        <v>344</v>
      </c>
      <c r="N115" s="310" t="s">
        <v>355</v>
      </c>
    </row>
    <row r="116" spans="2:15" ht="15.75" thickBot="1" x14ac:dyDescent="0.3">
      <c r="B116" s="488"/>
      <c r="C116" s="260" t="s">
        <v>298</v>
      </c>
      <c r="D116" s="261" t="s">
        <v>297</v>
      </c>
      <c r="E116" s="289" t="s">
        <v>24</v>
      </c>
      <c r="F116" s="237" t="s">
        <v>24</v>
      </c>
      <c r="G116" s="237" t="s">
        <v>24</v>
      </c>
      <c r="H116" s="237" t="s">
        <v>24</v>
      </c>
      <c r="I116" s="237" t="s">
        <v>24</v>
      </c>
      <c r="J116" s="287" t="s">
        <v>24</v>
      </c>
      <c r="K116" s="237" t="s">
        <v>24</v>
      </c>
      <c r="L116" s="288" t="s">
        <v>24</v>
      </c>
      <c r="M116" s="237" t="s">
        <v>24</v>
      </c>
      <c r="N116" s="289" t="s">
        <v>24</v>
      </c>
    </row>
    <row r="117" spans="2:15" x14ac:dyDescent="0.25">
      <c r="B117" s="234" t="s">
        <v>27</v>
      </c>
      <c r="C117" s="500">
        <v>0.1</v>
      </c>
      <c r="D117" s="503">
        <v>1</v>
      </c>
      <c r="E117" s="271">
        <v>1.2999999999999999E-2</v>
      </c>
      <c r="F117" s="271">
        <v>1.2999999999999999E-2</v>
      </c>
      <c r="G117" s="337">
        <v>0.38</v>
      </c>
      <c r="H117" s="271">
        <v>2.4E-2</v>
      </c>
      <c r="I117" s="316"/>
      <c r="J117" s="316"/>
      <c r="K117" s="316"/>
      <c r="L117" s="316"/>
      <c r="M117" s="271">
        <v>2.3E-2</v>
      </c>
      <c r="N117" s="271">
        <v>2.4E-2</v>
      </c>
      <c r="O117" s="51">
        <f>MAX(E117:N123)</f>
        <v>0.38</v>
      </c>
    </row>
    <row r="118" spans="2:15" x14ac:dyDescent="0.25">
      <c r="B118" s="235" t="s">
        <v>28</v>
      </c>
      <c r="C118" s="500"/>
      <c r="D118" s="503"/>
      <c r="E118" s="274">
        <v>3.7999999999999999E-2</v>
      </c>
      <c r="F118" s="274">
        <v>1.2E-2</v>
      </c>
      <c r="G118" s="274">
        <v>0.155</v>
      </c>
      <c r="H118" s="274">
        <v>2E-3</v>
      </c>
      <c r="I118" s="317"/>
      <c r="J118" s="317"/>
      <c r="K118" s="317"/>
      <c r="L118" s="317"/>
      <c r="M118" s="274">
        <v>2.5000000000000001E-2</v>
      </c>
      <c r="N118" s="274">
        <v>6.5000000000000002E-2</v>
      </c>
      <c r="O118" s="51">
        <f>MIN(E117:N123)</f>
        <v>1E-3</v>
      </c>
    </row>
    <row r="119" spans="2:15" x14ac:dyDescent="0.25">
      <c r="B119" s="235" t="s">
        <v>29</v>
      </c>
      <c r="C119" s="500"/>
      <c r="D119" s="503"/>
      <c r="E119" s="274">
        <v>2.9000000000000001E-2</v>
      </c>
      <c r="F119" s="274">
        <v>1.7999999999999999E-2</v>
      </c>
      <c r="G119" s="274">
        <v>0.29599999999999999</v>
      </c>
      <c r="H119" s="274">
        <v>8.0000000000000002E-3</v>
      </c>
      <c r="I119" s="317"/>
      <c r="J119" s="317"/>
      <c r="K119" s="317"/>
      <c r="L119" s="317"/>
      <c r="M119" s="274">
        <v>2.5999999999999999E-2</v>
      </c>
      <c r="N119" s="274">
        <v>7.1999999999999995E-2</v>
      </c>
    </row>
    <row r="120" spans="2:15" x14ac:dyDescent="0.25">
      <c r="B120" s="235" t="s">
        <v>30</v>
      </c>
      <c r="C120" s="500"/>
      <c r="D120" s="503"/>
      <c r="E120" s="274">
        <v>0.03</v>
      </c>
      <c r="F120" s="274">
        <v>1.4E-2</v>
      </c>
      <c r="G120" s="274">
        <v>0.111</v>
      </c>
      <c r="H120" s="315">
        <v>1E-3</v>
      </c>
      <c r="I120" s="317"/>
      <c r="J120" s="317"/>
      <c r="K120" s="317"/>
      <c r="L120" s="317"/>
      <c r="M120" s="274">
        <v>2.1000000000000001E-2</v>
      </c>
      <c r="N120" s="274">
        <v>3.5000000000000003E-2</v>
      </c>
    </row>
    <row r="121" spans="2:15" x14ac:dyDescent="0.25">
      <c r="B121" s="235" t="s">
        <v>31</v>
      </c>
      <c r="C121" s="500"/>
      <c r="D121" s="503"/>
      <c r="E121" s="274">
        <v>4.2000000000000003E-2</v>
      </c>
      <c r="F121" s="274">
        <v>5.0999999999999997E-2</v>
      </c>
      <c r="G121" s="274">
        <v>7.8E-2</v>
      </c>
      <c r="H121" s="274">
        <v>1.7000000000000001E-2</v>
      </c>
      <c r="I121" s="317"/>
      <c r="J121" s="317"/>
      <c r="K121" s="317"/>
      <c r="L121" s="317"/>
      <c r="M121" s="274">
        <v>3.9E-2</v>
      </c>
      <c r="N121" s="274">
        <v>6.5000000000000002E-2</v>
      </c>
    </row>
    <row r="122" spans="2:15" x14ac:dyDescent="0.25">
      <c r="B122" s="235" t="s">
        <v>25</v>
      </c>
      <c r="C122" s="500"/>
      <c r="D122" s="503"/>
      <c r="E122" s="274">
        <v>1.4999999999999999E-2</v>
      </c>
      <c r="F122" s="274">
        <v>0.153</v>
      </c>
      <c r="G122" s="274">
        <v>0.14599999999999999</v>
      </c>
      <c r="H122" s="274">
        <v>8.9999999999999993E-3</v>
      </c>
      <c r="I122" s="317"/>
      <c r="J122" s="317"/>
      <c r="K122" s="317"/>
      <c r="L122" s="317"/>
      <c r="M122" s="274">
        <v>2.5999999999999999E-2</v>
      </c>
      <c r="N122" s="274">
        <v>7.9000000000000001E-2</v>
      </c>
    </row>
    <row r="123" spans="2:15" ht="15.75" thickBot="1" x14ac:dyDescent="0.3">
      <c r="B123" s="236" t="s">
        <v>32</v>
      </c>
      <c r="C123" s="501"/>
      <c r="D123" s="504"/>
      <c r="E123" s="312">
        <v>2.3E-2</v>
      </c>
      <c r="F123" s="312">
        <v>1.6E-2</v>
      </c>
      <c r="G123" s="312">
        <v>0.11</v>
      </c>
      <c r="H123" s="312">
        <v>6.6000000000000003E-2</v>
      </c>
      <c r="I123" s="318"/>
      <c r="J123" s="318"/>
      <c r="K123" s="318"/>
      <c r="L123" s="318"/>
      <c r="M123" s="312">
        <v>2.1000000000000001E-2</v>
      </c>
      <c r="N123" s="312">
        <v>0.01</v>
      </c>
    </row>
    <row r="124" spans="2:15" ht="15.75" thickBot="1" x14ac:dyDescent="0.3"/>
    <row r="125" spans="2:15" ht="15.75" thickBot="1" x14ac:dyDescent="0.3">
      <c r="B125" s="510" t="s">
        <v>364</v>
      </c>
      <c r="C125" s="511"/>
      <c r="D125" s="511"/>
      <c r="E125" s="511"/>
      <c r="F125" s="511"/>
      <c r="G125" s="511"/>
      <c r="H125" s="511"/>
      <c r="I125" s="511"/>
      <c r="J125" s="511"/>
      <c r="K125" s="511"/>
      <c r="L125" s="511"/>
      <c r="M125" s="511"/>
      <c r="N125" s="512"/>
    </row>
    <row r="126" spans="2:15" ht="15.75" thickBot="1" x14ac:dyDescent="0.3">
      <c r="B126" s="487" t="s">
        <v>346</v>
      </c>
      <c r="C126" s="497" t="s">
        <v>33</v>
      </c>
      <c r="D126" s="516"/>
      <c r="E126" s="310" t="s">
        <v>337</v>
      </c>
      <c r="F126" s="241" t="s">
        <v>84</v>
      </c>
      <c r="G126" s="241" t="s">
        <v>338</v>
      </c>
      <c r="H126" s="241" t="s">
        <v>339</v>
      </c>
      <c r="I126" s="241" t="s">
        <v>340</v>
      </c>
      <c r="J126" s="311" t="s">
        <v>341</v>
      </c>
      <c r="K126" s="240" t="s">
        <v>342</v>
      </c>
      <c r="L126" s="284" t="s">
        <v>343</v>
      </c>
      <c r="M126" s="240" t="s">
        <v>344</v>
      </c>
      <c r="N126" s="310" t="s">
        <v>355</v>
      </c>
    </row>
    <row r="127" spans="2:15" ht="15.75" thickBot="1" x14ac:dyDescent="0.3">
      <c r="B127" s="488"/>
      <c r="C127" s="260" t="s">
        <v>298</v>
      </c>
      <c r="D127" s="261" t="s">
        <v>297</v>
      </c>
      <c r="E127" s="289" t="s">
        <v>24</v>
      </c>
      <c r="F127" s="237" t="s">
        <v>24</v>
      </c>
      <c r="G127" s="237" t="s">
        <v>24</v>
      </c>
      <c r="H127" s="237" t="s">
        <v>24</v>
      </c>
      <c r="I127" s="237" t="s">
        <v>24</v>
      </c>
      <c r="J127" s="287" t="s">
        <v>24</v>
      </c>
      <c r="K127" s="237" t="s">
        <v>24</v>
      </c>
      <c r="L127" s="288" t="s">
        <v>24</v>
      </c>
      <c r="M127" s="237" t="s">
        <v>24</v>
      </c>
      <c r="N127" s="289" t="s">
        <v>24</v>
      </c>
    </row>
    <row r="128" spans="2:15" x14ac:dyDescent="0.25">
      <c r="B128" s="241" t="s">
        <v>27</v>
      </c>
      <c r="C128" s="518">
        <v>0.2</v>
      </c>
      <c r="D128" s="508">
        <v>0.2</v>
      </c>
      <c r="E128" s="272">
        <v>3.2</v>
      </c>
      <c r="F128" s="319">
        <v>0.1</v>
      </c>
      <c r="G128" s="272">
        <v>2.9</v>
      </c>
      <c r="H128" s="272">
        <v>0.6</v>
      </c>
      <c r="I128" s="320"/>
      <c r="J128" s="320"/>
      <c r="K128" s="320"/>
      <c r="L128" s="320"/>
      <c r="M128" s="272">
        <v>2.9</v>
      </c>
      <c r="N128" s="323">
        <v>3.7</v>
      </c>
      <c r="O128" s="51">
        <f>MAX(E128:N134)</f>
        <v>3.7</v>
      </c>
    </row>
    <row r="129" spans="2:15" x14ac:dyDescent="0.25">
      <c r="B129" s="235" t="s">
        <v>28</v>
      </c>
      <c r="C129" s="518"/>
      <c r="D129" s="508"/>
      <c r="E129" s="275">
        <v>3.3</v>
      </c>
      <c r="F129" s="275">
        <v>0.2</v>
      </c>
      <c r="G129" s="275">
        <v>2</v>
      </c>
      <c r="H129" s="275">
        <v>0.5</v>
      </c>
      <c r="I129" s="321"/>
      <c r="J129" s="321"/>
      <c r="K129" s="321"/>
      <c r="L129" s="321"/>
      <c r="M129" s="275">
        <v>1.1000000000000001</v>
      </c>
      <c r="N129" s="275">
        <v>1.8</v>
      </c>
      <c r="O129" s="51">
        <f>MIN(E128:N134)</f>
        <v>0.1</v>
      </c>
    </row>
    <row r="130" spans="2:15" x14ac:dyDescent="0.25">
      <c r="B130" s="235" t="s">
        <v>29</v>
      </c>
      <c r="C130" s="518"/>
      <c r="D130" s="508"/>
      <c r="E130" s="275">
        <v>2.5</v>
      </c>
      <c r="F130" s="275">
        <v>0.3</v>
      </c>
      <c r="G130" s="275">
        <v>2.2999999999999998</v>
      </c>
      <c r="H130" s="275">
        <v>0.5</v>
      </c>
      <c r="I130" s="321"/>
      <c r="J130" s="321"/>
      <c r="K130" s="321"/>
      <c r="L130" s="321"/>
      <c r="M130" s="275">
        <v>0.2</v>
      </c>
      <c r="N130" s="275">
        <v>1.2</v>
      </c>
    </row>
    <row r="131" spans="2:15" x14ac:dyDescent="0.25">
      <c r="B131" s="235" t="s">
        <v>30</v>
      </c>
      <c r="C131" s="518"/>
      <c r="D131" s="508"/>
      <c r="E131" s="275">
        <v>1.5</v>
      </c>
      <c r="F131" s="275">
        <v>0.4</v>
      </c>
      <c r="G131" s="275">
        <v>2.5</v>
      </c>
      <c r="H131" s="292">
        <v>0.1</v>
      </c>
      <c r="I131" s="321"/>
      <c r="J131" s="321"/>
      <c r="K131" s="321"/>
      <c r="L131" s="321"/>
      <c r="M131" s="275">
        <v>0.4</v>
      </c>
      <c r="N131" s="275">
        <v>1</v>
      </c>
    </row>
    <row r="132" spans="2:15" x14ac:dyDescent="0.25">
      <c r="B132" s="235" t="s">
        <v>31</v>
      </c>
      <c r="C132" s="518"/>
      <c r="D132" s="508"/>
      <c r="E132" s="275">
        <v>2</v>
      </c>
      <c r="F132" s="275">
        <v>0.2</v>
      </c>
      <c r="G132" s="275">
        <v>2.8</v>
      </c>
      <c r="H132" s="292">
        <v>0.1</v>
      </c>
      <c r="I132" s="321"/>
      <c r="J132" s="321"/>
      <c r="K132" s="321"/>
      <c r="L132" s="321"/>
      <c r="M132" s="275">
        <v>1.2</v>
      </c>
      <c r="N132" s="275">
        <v>0.7</v>
      </c>
    </row>
    <row r="133" spans="2:15" x14ac:dyDescent="0.25">
      <c r="B133" s="235" t="s">
        <v>25</v>
      </c>
      <c r="C133" s="518"/>
      <c r="D133" s="508"/>
      <c r="E133" s="275">
        <v>2.2000000000000002</v>
      </c>
      <c r="F133" s="275">
        <v>0.8</v>
      </c>
      <c r="G133" s="275">
        <v>2.2000000000000002</v>
      </c>
      <c r="H133" s="275">
        <v>0.3</v>
      </c>
      <c r="I133" s="321"/>
      <c r="J133" s="321"/>
      <c r="K133" s="321"/>
      <c r="L133" s="321"/>
      <c r="M133" s="275">
        <v>0.4</v>
      </c>
      <c r="N133" s="275">
        <v>0.4</v>
      </c>
    </row>
    <row r="134" spans="2:15" ht="15.75" thickBot="1" x14ac:dyDescent="0.3">
      <c r="B134" s="236" t="s">
        <v>32</v>
      </c>
      <c r="C134" s="519"/>
      <c r="D134" s="509"/>
      <c r="E134" s="291">
        <v>2</v>
      </c>
      <c r="F134" s="291">
        <v>0.8</v>
      </c>
      <c r="G134" s="291">
        <v>2.7</v>
      </c>
      <c r="H134" s="291">
        <v>1.2</v>
      </c>
      <c r="I134" s="322"/>
      <c r="J134" s="322"/>
      <c r="K134" s="322"/>
      <c r="L134" s="322"/>
      <c r="M134" s="291">
        <v>0.8</v>
      </c>
      <c r="N134" s="291">
        <v>0.5</v>
      </c>
    </row>
    <row r="135" spans="2:15" ht="15.75" thickBot="1" x14ac:dyDescent="0.3"/>
    <row r="136" spans="2:15" ht="15.75" thickBot="1" x14ac:dyDescent="0.3">
      <c r="B136" s="510" t="s">
        <v>365</v>
      </c>
      <c r="C136" s="511"/>
      <c r="D136" s="511"/>
      <c r="E136" s="511"/>
      <c r="F136" s="511"/>
      <c r="G136" s="511"/>
      <c r="H136" s="511"/>
      <c r="I136" s="511"/>
      <c r="J136" s="511"/>
      <c r="K136" s="511"/>
      <c r="L136" s="511"/>
      <c r="M136" s="511"/>
      <c r="N136" s="512"/>
    </row>
    <row r="137" spans="2:15" ht="15.75" thickBot="1" x14ac:dyDescent="0.3">
      <c r="B137" s="487" t="s">
        <v>346</v>
      </c>
      <c r="C137" s="497" t="s">
        <v>33</v>
      </c>
      <c r="D137" s="516"/>
      <c r="E137" s="310" t="s">
        <v>337</v>
      </c>
      <c r="F137" s="241" t="s">
        <v>84</v>
      </c>
      <c r="G137" s="241" t="s">
        <v>338</v>
      </c>
      <c r="H137" s="241" t="s">
        <v>339</v>
      </c>
      <c r="I137" s="241" t="s">
        <v>340</v>
      </c>
      <c r="J137" s="311" t="s">
        <v>341</v>
      </c>
      <c r="K137" s="240" t="s">
        <v>342</v>
      </c>
      <c r="L137" s="284" t="s">
        <v>343</v>
      </c>
      <c r="M137" s="240" t="s">
        <v>344</v>
      </c>
      <c r="N137" s="310" t="s">
        <v>355</v>
      </c>
    </row>
    <row r="138" spans="2:15" ht="15.75" thickBot="1" x14ac:dyDescent="0.3">
      <c r="B138" s="488"/>
      <c r="C138" s="260" t="s">
        <v>298</v>
      </c>
      <c r="D138" s="261" t="s">
        <v>297</v>
      </c>
      <c r="E138" s="289" t="s">
        <v>24</v>
      </c>
      <c r="F138" s="237" t="s">
        <v>24</v>
      </c>
      <c r="G138" s="237" t="s">
        <v>24</v>
      </c>
      <c r="H138" s="237" t="s">
        <v>24</v>
      </c>
      <c r="I138" s="237" t="s">
        <v>24</v>
      </c>
      <c r="J138" s="287" t="s">
        <v>24</v>
      </c>
      <c r="K138" s="237" t="s">
        <v>24</v>
      </c>
      <c r="L138" s="288" t="s">
        <v>24</v>
      </c>
      <c r="M138" s="237" t="s">
        <v>24</v>
      </c>
      <c r="N138" s="289" t="s">
        <v>24</v>
      </c>
    </row>
    <row r="139" spans="2:15" x14ac:dyDescent="0.25">
      <c r="B139" s="234" t="s">
        <v>27</v>
      </c>
      <c r="C139" s="500">
        <v>0.5</v>
      </c>
      <c r="D139" s="503" t="s">
        <v>350</v>
      </c>
      <c r="E139" s="270">
        <v>0.52200000000000002</v>
      </c>
      <c r="F139" s="270">
        <v>0.10199999999999999</v>
      </c>
      <c r="G139" s="270">
        <v>3.7999999999999999E-2</v>
      </c>
      <c r="H139" s="270">
        <v>9.5000000000000001E-2</v>
      </c>
      <c r="I139" s="320"/>
      <c r="J139" s="320"/>
      <c r="K139" s="320"/>
      <c r="L139" s="320"/>
      <c r="M139" s="270">
        <v>0.161</v>
      </c>
      <c r="N139" s="270">
        <v>7.9000000000000001E-2</v>
      </c>
      <c r="O139" s="51">
        <f>MAX(E139:N145)</f>
        <v>1.857</v>
      </c>
    </row>
    <row r="140" spans="2:15" x14ac:dyDescent="0.25">
      <c r="B140" s="235" t="s">
        <v>28</v>
      </c>
      <c r="C140" s="500"/>
      <c r="D140" s="503"/>
      <c r="E140" s="273">
        <v>0.72799999999999998</v>
      </c>
      <c r="F140" s="273">
        <v>0.09</v>
      </c>
      <c r="G140" s="273">
        <v>4.5999999999999999E-2</v>
      </c>
      <c r="H140" s="273">
        <v>0.06</v>
      </c>
      <c r="I140" s="321"/>
      <c r="J140" s="321"/>
      <c r="K140" s="321"/>
      <c r="L140" s="321"/>
      <c r="M140" s="273">
        <v>0.23699999999999999</v>
      </c>
      <c r="N140" s="273">
        <v>7.1999999999999995E-2</v>
      </c>
      <c r="O140" s="51">
        <f>MIN(E139:N145)</f>
        <v>2.5999999999999999E-2</v>
      </c>
    </row>
    <row r="141" spans="2:15" x14ac:dyDescent="0.25">
      <c r="B141" s="235" t="s">
        <v>29</v>
      </c>
      <c r="C141" s="500"/>
      <c r="D141" s="503"/>
      <c r="E141" s="273">
        <v>0.44900000000000001</v>
      </c>
      <c r="F141" s="273">
        <v>0.11</v>
      </c>
      <c r="G141" s="273">
        <v>4.3999999999999997E-2</v>
      </c>
      <c r="H141" s="273">
        <v>0.251</v>
      </c>
      <c r="I141" s="321"/>
      <c r="J141" s="321"/>
      <c r="K141" s="321"/>
      <c r="L141" s="321"/>
      <c r="M141" s="273">
        <v>0.628</v>
      </c>
      <c r="N141" s="273">
        <v>6.8000000000000005E-2</v>
      </c>
    </row>
    <row r="142" spans="2:15" x14ac:dyDescent="0.25">
      <c r="B142" s="235" t="s">
        <v>30</v>
      </c>
      <c r="C142" s="500"/>
      <c r="D142" s="503"/>
      <c r="E142" s="273">
        <v>0.45300000000000001</v>
      </c>
      <c r="F142" s="273">
        <v>0.108</v>
      </c>
      <c r="G142" s="273">
        <v>4.2999999999999997E-2</v>
      </c>
      <c r="H142" s="273">
        <v>0.04</v>
      </c>
      <c r="I142" s="321"/>
      <c r="J142" s="321"/>
      <c r="K142" s="321"/>
      <c r="L142" s="321"/>
      <c r="M142" s="273">
        <v>0.13800000000000001</v>
      </c>
      <c r="N142" s="273">
        <v>9.4E-2</v>
      </c>
    </row>
    <row r="143" spans="2:15" x14ac:dyDescent="0.25">
      <c r="B143" s="235" t="s">
        <v>31</v>
      </c>
      <c r="C143" s="500"/>
      <c r="D143" s="503"/>
      <c r="E143" s="273">
        <v>1.0189999999999999</v>
      </c>
      <c r="F143" s="273">
        <v>0.17399999999999999</v>
      </c>
      <c r="G143" s="273">
        <v>5.0999999999999997E-2</v>
      </c>
      <c r="H143" s="273">
        <v>3.6999999999999998E-2</v>
      </c>
      <c r="I143" s="321"/>
      <c r="J143" s="321"/>
      <c r="K143" s="321"/>
      <c r="L143" s="321"/>
      <c r="M143" s="273">
        <v>0.10100000000000001</v>
      </c>
      <c r="N143" s="315">
        <v>2.5999999999999999E-2</v>
      </c>
    </row>
    <row r="144" spans="2:15" x14ac:dyDescent="0.25">
      <c r="B144" s="235" t="s">
        <v>25</v>
      </c>
      <c r="C144" s="500"/>
      <c r="D144" s="503"/>
      <c r="E144" s="273">
        <v>1.4</v>
      </c>
      <c r="F144" s="273">
        <v>1.5760000000000001</v>
      </c>
      <c r="G144" s="273">
        <v>0.40600000000000003</v>
      </c>
      <c r="H144" s="273">
        <v>0.38700000000000001</v>
      </c>
      <c r="I144" s="321"/>
      <c r="J144" s="321"/>
      <c r="K144" s="321"/>
      <c r="L144" s="321"/>
      <c r="M144" s="273">
        <v>0.26</v>
      </c>
      <c r="N144" s="273">
        <v>5.8000000000000003E-2</v>
      </c>
    </row>
    <row r="145" spans="2:15" ht="15.75" thickBot="1" x14ac:dyDescent="0.3">
      <c r="B145" s="236" t="s">
        <v>32</v>
      </c>
      <c r="C145" s="501"/>
      <c r="D145" s="504"/>
      <c r="E145" s="324">
        <v>1.4</v>
      </c>
      <c r="F145" s="325">
        <v>1.857</v>
      </c>
      <c r="G145" s="324">
        <v>0.59</v>
      </c>
      <c r="H145" s="324">
        <v>0.34300000000000003</v>
      </c>
      <c r="I145" s="322"/>
      <c r="J145" s="322"/>
      <c r="K145" s="322"/>
      <c r="L145" s="322"/>
      <c r="M145" s="324">
        <v>0.48</v>
      </c>
      <c r="N145" s="324">
        <v>0.48</v>
      </c>
    </row>
    <row r="146" spans="2:15" ht="15.75" thickBot="1" x14ac:dyDescent="0.3"/>
    <row r="147" spans="2:15" ht="15.75" thickBot="1" x14ac:dyDescent="0.3">
      <c r="B147" s="510" t="s">
        <v>366</v>
      </c>
      <c r="C147" s="511"/>
      <c r="D147" s="511"/>
      <c r="E147" s="511"/>
      <c r="F147" s="511"/>
      <c r="G147" s="511"/>
      <c r="H147" s="511"/>
      <c r="I147" s="511"/>
      <c r="J147" s="511"/>
      <c r="K147" s="511"/>
      <c r="L147" s="511"/>
      <c r="M147" s="511"/>
      <c r="N147" s="512"/>
    </row>
    <row r="148" spans="2:15" ht="15.75" thickBot="1" x14ac:dyDescent="0.3">
      <c r="B148" s="487" t="s">
        <v>346</v>
      </c>
      <c r="C148" s="497" t="s">
        <v>33</v>
      </c>
      <c r="D148" s="516"/>
      <c r="E148" s="310" t="s">
        <v>337</v>
      </c>
      <c r="F148" s="241" t="s">
        <v>84</v>
      </c>
      <c r="G148" s="241" t="s">
        <v>338</v>
      </c>
      <c r="H148" s="241" t="s">
        <v>339</v>
      </c>
      <c r="I148" s="241" t="s">
        <v>340</v>
      </c>
      <c r="J148" s="311" t="s">
        <v>341</v>
      </c>
      <c r="K148" s="240" t="s">
        <v>342</v>
      </c>
      <c r="L148" s="284" t="s">
        <v>343</v>
      </c>
      <c r="M148" s="240" t="s">
        <v>344</v>
      </c>
      <c r="N148" s="310" t="s">
        <v>355</v>
      </c>
    </row>
    <row r="149" spans="2:15" ht="15.75" thickBot="1" x14ac:dyDescent="0.3">
      <c r="B149" s="488"/>
      <c r="C149" s="260" t="s">
        <v>298</v>
      </c>
      <c r="D149" s="261" t="s">
        <v>297</v>
      </c>
      <c r="E149" s="289" t="s">
        <v>24</v>
      </c>
      <c r="F149" s="237" t="s">
        <v>24</v>
      </c>
      <c r="G149" s="237" t="s">
        <v>24</v>
      </c>
      <c r="H149" s="237" t="s">
        <v>24</v>
      </c>
      <c r="I149" s="237" t="s">
        <v>24</v>
      </c>
      <c r="J149" s="287" t="s">
        <v>24</v>
      </c>
      <c r="K149" s="237" t="s">
        <v>24</v>
      </c>
      <c r="L149" s="288" t="s">
        <v>24</v>
      </c>
      <c r="M149" s="237" t="s">
        <v>24</v>
      </c>
      <c r="N149" s="289" t="s">
        <v>24</v>
      </c>
    </row>
    <row r="150" spans="2:15" x14ac:dyDescent="0.25">
      <c r="B150" s="311" t="s">
        <v>27</v>
      </c>
      <c r="C150" s="500">
        <v>2</v>
      </c>
      <c r="D150" s="503">
        <v>24</v>
      </c>
      <c r="E150" s="270">
        <v>0.13</v>
      </c>
      <c r="F150" s="320"/>
      <c r="G150" s="320"/>
      <c r="H150" s="320"/>
      <c r="I150" s="320"/>
      <c r="J150" s="320"/>
      <c r="K150" s="320"/>
      <c r="L150" s="320"/>
      <c r="M150" s="270">
        <v>0.12</v>
      </c>
      <c r="N150" s="270">
        <v>0.26</v>
      </c>
      <c r="O150" s="51">
        <f>MAX(E150:N156)</f>
        <v>0.37</v>
      </c>
    </row>
    <row r="151" spans="2:15" x14ac:dyDescent="0.25">
      <c r="B151" s="297" t="s">
        <v>28</v>
      </c>
      <c r="C151" s="500"/>
      <c r="D151" s="503"/>
      <c r="E151" s="326">
        <v>0.37</v>
      </c>
      <c r="F151" s="321"/>
      <c r="G151" s="321"/>
      <c r="H151" s="321"/>
      <c r="I151" s="321"/>
      <c r="J151" s="321"/>
      <c r="K151" s="321"/>
      <c r="L151" s="321"/>
      <c r="M151" s="273">
        <v>0.11</v>
      </c>
      <c r="N151" s="273">
        <v>0.13</v>
      </c>
      <c r="O151" s="51">
        <f>MIN(E150:N156)</f>
        <v>0.09</v>
      </c>
    </row>
    <row r="152" spans="2:15" x14ac:dyDescent="0.25">
      <c r="B152" s="297" t="s">
        <v>29</v>
      </c>
      <c r="C152" s="500"/>
      <c r="D152" s="503"/>
      <c r="E152" s="273">
        <v>0.12</v>
      </c>
      <c r="F152" s="321"/>
      <c r="G152" s="321"/>
      <c r="H152" s="321"/>
      <c r="I152" s="321"/>
      <c r="J152" s="321"/>
      <c r="K152" s="321"/>
      <c r="L152" s="321"/>
      <c r="M152" s="315">
        <v>0.09</v>
      </c>
      <c r="N152" s="315">
        <v>0.09</v>
      </c>
    </row>
    <row r="153" spans="2:15" x14ac:dyDescent="0.25">
      <c r="B153" s="297" t="s">
        <v>30</v>
      </c>
      <c r="C153" s="500"/>
      <c r="D153" s="503"/>
      <c r="E153" s="273">
        <v>0.1</v>
      </c>
      <c r="F153" s="321"/>
      <c r="G153" s="321"/>
      <c r="H153" s="321"/>
      <c r="I153" s="321"/>
      <c r="J153" s="321"/>
      <c r="K153" s="321"/>
      <c r="L153" s="321"/>
      <c r="M153" s="273">
        <v>0.1</v>
      </c>
      <c r="N153" s="273">
        <v>0.1</v>
      </c>
    </row>
    <row r="154" spans="2:15" x14ac:dyDescent="0.25">
      <c r="B154" s="297" t="s">
        <v>31</v>
      </c>
      <c r="C154" s="500"/>
      <c r="D154" s="503"/>
      <c r="E154" s="273">
        <v>0.13</v>
      </c>
      <c r="F154" s="321"/>
      <c r="G154" s="321"/>
      <c r="H154" s="321"/>
      <c r="I154" s="321"/>
      <c r="J154" s="321"/>
      <c r="K154" s="321"/>
      <c r="L154" s="321"/>
      <c r="M154" s="273">
        <v>0.16</v>
      </c>
      <c r="N154" s="273">
        <v>0.23</v>
      </c>
    </row>
    <row r="155" spans="2:15" x14ac:dyDescent="0.25">
      <c r="B155" s="297" t="s">
        <v>25</v>
      </c>
      <c r="C155" s="500"/>
      <c r="D155" s="503"/>
      <c r="E155" s="273">
        <v>0.26</v>
      </c>
      <c r="F155" s="321"/>
      <c r="G155" s="321"/>
      <c r="H155" s="321"/>
      <c r="I155" s="321"/>
      <c r="J155" s="321"/>
      <c r="K155" s="321"/>
      <c r="L155" s="321"/>
      <c r="M155" s="273">
        <v>0.12</v>
      </c>
      <c r="N155" s="273">
        <v>0.19</v>
      </c>
    </row>
    <row r="156" spans="2:15" ht="15.75" thickBot="1" x14ac:dyDescent="0.3">
      <c r="B156" s="298" t="s">
        <v>32</v>
      </c>
      <c r="C156" s="501"/>
      <c r="D156" s="504"/>
      <c r="E156" s="324">
        <v>0.27</v>
      </c>
      <c r="F156" s="322"/>
      <c r="G156" s="322"/>
      <c r="H156" s="322"/>
      <c r="I156" s="322"/>
      <c r="J156" s="322"/>
      <c r="K156" s="322"/>
      <c r="L156" s="322"/>
      <c r="M156" s="324">
        <v>0.13</v>
      </c>
      <c r="N156" s="324">
        <v>0.13</v>
      </c>
    </row>
    <row r="157" spans="2:15" ht="15.75" thickBot="1" x14ac:dyDescent="0.3"/>
    <row r="158" spans="2:15" ht="15.75" thickBot="1" x14ac:dyDescent="0.3">
      <c r="B158" s="510" t="s">
        <v>92</v>
      </c>
      <c r="C158" s="511"/>
      <c r="D158" s="511"/>
      <c r="E158" s="511"/>
      <c r="F158" s="511"/>
      <c r="G158" s="511"/>
      <c r="H158" s="511"/>
      <c r="I158" s="511"/>
      <c r="J158" s="511"/>
      <c r="K158" s="511"/>
      <c r="L158" s="511"/>
      <c r="M158" s="511"/>
      <c r="N158" s="512"/>
    </row>
    <row r="159" spans="2:15" ht="15.75" thickBot="1" x14ac:dyDescent="0.3">
      <c r="B159" s="517" t="s">
        <v>346</v>
      </c>
      <c r="C159" s="525" t="s">
        <v>33</v>
      </c>
      <c r="D159" s="526"/>
      <c r="E159" s="290" t="s">
        <v>337</v>
      </c>
      <c r="F159" s="290" t="s">
        <v>84</v>
      </c>
      <c r="G159" s="290" t="s">
        <v>338</v>
      </c>
      <c r="H159" s="237" t="s">
        <v>339</v>
      </c>
      <c r="I159" s="290" t="s">
        <v>340</v>
      </c>
      <c r="J159" s="290" t="s">
        <v>341</v>
      </c>
      <c r="K159" s="290" t="s">
        <v>342</v>
      </c>
      <c r="L159" s="290" t="s">
        <v>343</v>
      </c>
      <c r="M159" s="290" t="s">
        <v>344</v>
      </c>
      <c r="N159" s="290" t="s">
        <v>355</v>
      </c>
    </row>
    <row r="160" spans="2:15" ht="15.75" thickBot="1" x14ac:dyDescent="0.3">
      <c r="B160" s="488"/>
      <c r="C160" s="260" t="s">
        <v>298</v>
      </c>
      <c r="D160" s="257" t="s">
        <v>297</v>
      </c>
      <c r="E160" s="328" t="s">
        <v>367</v>
      </c>
      <c r="F160" s="328" t="s">
        <v>367</v>
      </c>
      <c r="G160" s="328" t="s">
        <v>367</v>
      </c>
      <c r="H160" s="328" t="s">
        <v>367</v>
      </c>
      <c r="I160" s="328" t="s">
        <v>367</v>
      </c>
      <c r="J160" s="328" t="s">
        <v>367</v>
      </c>
      <c r="K160" s="328" t="s">
        <v>367</v>
      </c>
      <c r="L160" s="328" t="s">
        <v>367</v>
      </c>
      <c r="M160" s="328" t="s">
        <v>367</v>
      </c>
      <c r="N160" s="328" t="s">
        <v>367</v>
      </c>
    </row>
    <row r="161" spans="2:15" x14ac:dyDescent="0.25">
      <c r="B161" s="311" t="s">
        <v>27</v>
      </c>
      <c r="C161" s="500" t="s">
        <v>350</v>
      </c>
      <c r="D161" s="503" t="s">
        <v>350</v>
      </c>
      <c r="E161" s="321" t="s">
        <v>37</v>
      </c>
      <c r="F161" s="275">
        <v>11</v>
      </c>
      <c r="G161" s="275">
        <v>11</v>
      </c>
      <c r="H161" s="272">
        <v>15</v>
      </c>
      <c r="I161" s="321">
        <v>19</v>
      </c>
      <c r="J161" s="321">
        <v>23</v>
      </c>
      <c r="K161" s="321">
        <v>43</v>
      </c>
      <c r="L161" s="321">
        <v>93</v>
      </c>
      <c r="M161" s="275">
        <v>150</v>
      </c>
      <c r="N161" s="293">
        <v>150</v>
      </c>
      <c r="O161" s="51">
        <f>MAX(F161:N167)</f>
        <v>150</v>
      </c>
    </row>
    <row r="162" spans="2:15" x14ac:dyDescent="0.25">
      <c r="B162" s="297" t="s">
        <v>28</v>
      </c>
      <c r="C162" s="500"/>
      <c r="D162" s="503"/>
      <c r="E162" s="321" t="s">
        <v>37</v>
      </c>
      <c r="F162" s="275">
        <v>7.2</v>
      </c>
      <c r="G162" s="275">
        <v>11</v>
      </c>
      <c r="H162" s="275">
        <v>11</v>
      </c>
      <c r="I162" s="321">
        <v>16</v>
      </c>
      <c r="J162" s="321">
        <v>15</v>
      </c>
      <c r="K162" s="321">
        <v>23</v>
      </c>
      <c r="L162" s="321">
        <v>43</v>
      </c>
      <c r="M162" s="275">
        <v>75</v>
      </c>
      <c r="N162" s="275">
        <v>75</v>
      </c>
      <c r="O162" s="51">
        <f>MIN(F161:N167)</f>
        <v>3.6</v>
      </c>
    </row>
    <row r="163" spans="2:15" x14ac:dyDescent="0.25">
      <c r="B163" s="297" t="s">
        <v>29</v>
      </c>
      <c r="C163" s="500"/>
      <c r="D163" s="503"/>
      <c r="E163" s="321" t="s">
        <v>37</v>
      </c>
      <c r="F163" s="275">
        <v>15</v>
      </c>
      <c r="G163" s="275">
        <v>11</v>
      </c>
      <c r="H163" s="275">
        <v>7.3</v>
      </c>
      <c r="I163" s="321">
        <v>9.1999999999999993</v>
      </c>
      <c r="J163" s="321">
        <v>11</v>
      </c>
      <c r="K163" s="321">
        <v>21</v>
      </c>
      <c r="L163" s="321">
        <v>35</v>
      </c>
      <c r="M163" s="275">
        <v>75</v>
      </c>
      <c r="N163" s="275">
        <v>75</v>
      </c>
    </row>
    <row r="164" spans="2:15" x14ac:dyDescent="0.25">
      <c r="B164" s="297" t="s">
        <v>30</v>
      </c>
      <c r="C164" s="500"/>
      <c r="D164" s="503"/>
      <c r="E164" s="321" t="s">
        <v>37</v>
      </c>
      <c r="F164" s="275">
        <v>7.3</v>
      </c>
      <c r="G164" s="275">
        <v>11</v>
      </c>
      <c r="H164" s="275">
        <v>16</v>
      </c>
      <c r="I164" s="321">
        <v>13</v>
      </c>
      <c r="J164" s="321">
        <v>15</v>
      </c>
      <c r="K164" s="321">
        <v>21</v>
      </c>
      <c r="L164" s="321">
        <v>43</v>
      </c>
      <c r="M164" s="275">
        <v>43</v>
      </c>
      <c r="N164" s="275">
        <v>43</v>
      </c>
    </row>
    <row r="165" spans="2:15" x14ac:dyDescent="0.25">
      <c r="B165" s="297" t="s">
        <v>31</v>
      </c>
      <c r="C165" s="500"/>
      <c r="D165" s="503"/>
      <c r="E165" s="321" t="s">
        <v>37</v>
      </c>
      <c r="F165" s="275">
        <v>9.3000000000000007</v>
      </c>
      <c r="G165" s="275">
        <v>11</v>
      </c>
      <c r="H165" s="275">
        <v>15</v>
      </c>
      <c r="I165" s="321">
        <v>12</v>
      </c>
      <c r="J165" s="321">
        <v>11</v>
      </c>
      <c r="K165" s="321">
        <v>24</v>
      </c>
      <c r="L165" s="321">
        <v>35</v>
      </c>
      <c r="M165" s="275">
        <v>43</v>
      </c>
      <c r="N165" s="275">
        <v>43</v>
      </c>
    </row>
    <row r="166" spans="2:15" x14ac:dyDescent="0.25">
      <c r="B166" s="297" t="s">
        <v>25</v>
      </c>
      <c r="C166" s="500"/>
      <c r="D166" s="503"/>
      <c r="E166" s="321" t="s">
        <v>37</v>
      </c>
      <c r="F166" s="292">
        <v>3.6</v>
      </c>
      <c r="G166" s="275">
        <v>7.3</v>
      </c>
      <c r="H166" s="275">
        <v>7.2</v>
      </c>
      <c r="I166" s="321">
        <v>9.1999999999999993</v>
      </c>
      <c r="J166" s="321">
        <v>9</v>
      </c>
      <c r="K166" s="321">
        <v>9</v>
      </c>
      <c r="L166" s="321">
        <v>15</v>
      </c>
      <c r="M166" s="275">
        <v>35</v>
      </c>
      <c r="N166" s="275">
        <v>35</v>
      </c>
    </row>
    <row r="167" spans="2:15" ht="15.75" thickBot="1" x14ac:dyDescent="0.3">
      <c r="B167" s="298" t="s">
        <v>32</v>
      </c>
      <c r="C167" s="501"/>
      <c r="D167" s="504"/>
      <c r="E167" s="322" t="s">
        <v>37</v>
      </c>
      <c r="F167" s="291">
        <v>9.1999999999999993</v>
      </c>
      <c r="G167" s="291">
        <v>3.6</v>
      </c>
      <c r="H167" s="291">
        <v>7.2</v>
      </c>
      <c r="I167" s="322">
        <v>7.3</v>
      </c>
      <c r="J167" s="322">
        <v>6</v>
      </c>
      <c r="K167" s="322">
        <v>6</v>
      </c>
      <c r="L167" s="322">
        <v>15</v>
      </c>
      <c r="M167" s="291">
        <v>15</v>
      </c>
      <c r="N167" s="291">
        <v>15</v>
      </c>
    </row>
    <row r="168" spans="2:15" ht="15.75" thickBot="1" x14ac:dyDescent="0.3"/>
    <row r="169" spans="2:15" ht="15.75" thickBot="1" x14ac:dyDescent="0.3">
      <c r="B169" s="522" t="s">
        <v>330</v>
      </c>
      <c r="C169" s="520"/>
      <c r="D169" s="520"/>
      <c r="E169" s="520"/>
      <c r="F169" s="520"/>
      <c r="G169" s="520"/>
      <c r="H169" s="520"/>
      <c r="I169" s="520"/>
      <c r="J169" s="520"/>
      <c r="K169" s="520"/>
      <c r="L169" s="520"/>
      <c r="M169" s="520"/>
      <c r="N169" s="523"/>
    </row>
    <row r="170" spans="2:15" ht="15.75" thickBot="1" x14ac:dyDescent="0.3">
      <c r="B170" s="487" t="s">
        <v>346</v>
      </c>
      <c r="C170" s="497" t="s">
        <v>33</v>
      </c>
      <c r="D170" s="516"/>
      <c r="E170" s="234" t="s">
        <v>337</v>
      </c>
      <c r="F170" s="234" t="s">
        <v>84</v>
      </c>
      <c r="G170" s="234" t="s">
        <v>338</v>
      </c>
      <c r="H170" s="234" t="s">
        <v>339</v>
      </c>
      <c r="I170" s="234" t="s">
        <v>340</v>
      </c>
      <c r="J170" s="234" t="s">
        <v>341</v>
      </c>
      <c r="K170" s="234" t="s">
        <v>342</v>
      </c>
      <c r="L170" s="234" t="s">
        <v>343</v>
      </c>
      <c r="M170" s="234" t="s">
        <v>344</v>
      </c>
      <c r="N170" s="234" t="s">
        <v>355</v>
      </c>
    </row>
    <row r="171" spans="2:15" ht="15.75" thickBot="1" x14ac:dyDescent="0.3">
      <c r="B171" s="488"/>
      <c r="C171" s="260" t="s">
        <v>298</v>
      </c>
      <c r="D171" s="261" t="s">
        <v>297</v>
      </c>
      <c r="E171" s="328" t="s">
        <v>367</v>
      </c>
      <c r="F171" s="328" t="s">
        <v>367</v>
      </c>
      <c r="G171" s="328" t="s">
        <v>367</v>
      </c>
      <c r="H171" s="328" t="s">
        <v>367</v>
      </c>
      <c r="I171" s="328" t="s">
        <v>367</v>
      </c>
      <c r="J171" s="328" t="s">
        <v>367</v>
      </c>
      <c r="K171" s="328" t="s">
        <v>367</v>
      </c>
      <c r="L171" s="328" t="s">
        <v>367</v>
      </c>
      <c r="M171" s="328" t="s">
        <v>367</v>
      </c>
      <c r="N171" s="328" t="s">
        <v>367</v>
      </c>
    </row>
    <row r="172" spans="2:15" x14ac:dyDescent="0.25">
      <c r="B172" s="234" t="s">
        <v>27</v>
      </c>
      <c r="C172" s="500">
        <v>1000</v>
      </c>
      <c r="D172" s="506">
        <v>1000</v>
      </c>
      <c r="E172" s="321" t="s">
        <v>37</v>
      </c>
      <c r="F172" s="275">
        <v>3.6</v>
      </c>
      <c r="G172" s="275">
        <v>3</v>
      </c>
      <c r="H172" s="275">
        <v>7.3</v>
      </c>
      <c r="I172" s="321">
        <v>9.3000000000000007</v>
      </c>
      <c r="J172" s="321">
        <v>9.1</v>
      </c>
      <c r="K172" s="321">
        <v>23</v>
      </c>
      <c r="L172" s="321">
        <v>43</v>
      </c>
      <c r="M172" s="330">
        <v>75</v>
      </c>
      <c r="N172" s="331">
        <v>150</v>
      </c>
      <c r="O172" s="51">
        <f>MAX(F172:N178)</f>
        <v>150</v>
      </c>
    </row>
    <row r="173" spans="2:15" x14ac:dyDescent="0.25">
      <c r="B173" s="235" t="s">
        <v>28</v>
      </c>
      <c r="C173" s="500"/>
      <c r="D173" s="506"/>
      <c r="E173" s="321" t="s">
        <v>37</v>
      </c>
      <c r="F173" s="275">
        <v>3.6</v>
      </c>
      <c r="G173" s="275">
        <v>7.2</v>
      </c>
      <c r="H173" s="275">
        <v>7.3</v>
      </c>
      <c r="I173" s="321">
        <v>11</v>
      </c>
      <c r="J173" s="321">
        <v>7.2</v>
      </c>
      <c r="K173" s="321">
        <v>9.1</v>
      </c>
      <c r="L173" s="321">
        <v>23</v>
      </c>
      <c r="M173" s="275">
        <v>43</v>
      </c>
      <c r="N173" s="275">
        <v>23</v>
      </c>
      <c r="O173" s="51">
        <f>MIN(F172:N178)</f>
        <v>3</v>
      </c>
    </row>
    <row r="174" spans="2:15" x14ac:dyDescent="0.25">
      <c r="B174" s="235" t="s">
        <v>29</v>
      </c>
      <c r="C174" s="500"/>
      <c r="D174" s="506"/>
      <c r="E174" s="321" t="s">
        <v>37</v>
      </c>
      <c r="F174" s="275">
        <v>3</v>
      </c>
      <c r="G174" s="275">
        <v>3</v>
      </c>
      <c r="H174" s="275">
        <v>3</v>
      </c>
      <c r="I174" s="321">
        <v>6.1</v>
      </c>
      <c r="J174" s="321">
        <v>7.2</v>
      </c>
      <c r="K174" s="321">
        <v>15</v>
      </c>
      <c r="L174" s="321">
        <v>28</v>
      </c>
      <c r="M174" s="275">
        <v>23</v>
      </c>
      <c r="N174" s="275">
        <v>23</v>
      </c>
    </row>
    <row r="175" spans="2:15" x14ac:dyDescent="0.25">
      <c r="B175" s="235" t="s">
        <v>30</v>
      </c>
      <c r="C175" s="500"/>
      <c r="D175" s="506"/>
      <c r="E175" s="321" t="s">
        <v>37</v>
      </c>
      <c r="F175" s="275">
        <v>3.6</v>
      </c>
      <c r="G175" s="275">
        <v>11</v>
      </c>
      <c r="H175" s="275">
        <v>11</v>
      </c>
      <c r="I175" s="321">
        <v>6.1</v>
      </c>
      <c r="J175" s="321">
        <v>11</v>
      </c>
      <c r="K175" s="321">
        <v>15</v>
      </c>
      <c r="L175" s="321">
        <v>23</v>
      </c>
      <c r="M175" s="275">
        <v>23</v>
      </c>
      <c r="N175" s="275">
        <v>23</v>
      </c>
    </row>
    <row r="176" spans="2:15" x14ac:dyDescent="0.25">
      <c r="B176" s="235" t="s">
        <v>31</v>
      </c>
      <c r="C176" s="500"/>
      <c r="D176" s="506"/>
      <c r="E176" s="321" t="s">
        <v>37</v>
      </c>
      <c r="F176" s="292">
        <v>3</v>
      </c>
      <c r="G176" s="275">
        <v>7.3</v>
      </c>
      <c r="H176" s="275">
        <v>7.3</v>
      </c>
      <c r="I176" s="321">
        <v>9.3000000000000007</v>
      </c>
      <c r="J176" s="321">
        <v>3.6</v>
      </c>
      <c r="K176" s="321">
        <v>15</v>
      </c>
      <c r="L176" s="321">
        <v>21</v>
      </c>
      <c r="M176" s="275">
        <v>15</v>
      </c>
      <c r="N176" s="275">
        <v>15</v>
      </c>
    </row>
    <row r="177" spans="2:14" x14ac:dyDescent="0.25">
      <c r="B177" s="235" t="s">
        <v>25</v>
      </c>
      <c r="C177" s="500"/>
      <c r="D177" s="506"/>
      <c r="E177" s="321" t="s">
        <v>37</v>
      </c>
      <c r="F177" s="292">
        <v>3</v>
      </c>
      <c r="G177" s="275">
        <v>7.3</v>
      </c>
      <c r="H177" s="275">
        <v>3.6</v>
      </c>
      <c r="I177" s="321">
        <v>3</v>
      </c>
      <c r="J177" s="321">
        <v>3</v>
      </c>
      <c r="K177" s="321">
        <v>3</v>
      </c>
      <c r="L177" s="321">
        <v>15</v>
      </c>
      <c r="M177" s="275">
        <v>14</v>
      </c>
      <c r="N177" s="275">
        <v>14</v>
      </c>
    </row>
    <row r="178" spans="2:14" ht="15.75" thickBot="1" x14ac:dyDescent="0.3">
      <c r="B178" s="236" t="s">
        <v>32</v>
      </c>
      <c r="C178" s="501"/>
      <c r="D178" s="507"/>
      <c r="E178" s="322" t="s">
        <v>37</v>
      </c>
      <c r="F178" s="329">
        <v>3</v>
      </c>
      <c r="G178" s="291">
        <v>3.6</v>
      </c>
      <c r="H178" s="291">
        <v>3.6</v>
      </c>
      <c r="I178" s="322">
        <v>3.6</v>
      </c>
      <c r="J178" s="322">
        <v>3</v>
      </c>
      <c r="K178" s="322">
        <v>3</v>
      </c>
      <c r="L178" s="322">
        <v>15</v>
      </c>
      <c r="M178" s="291">
        <v>9.1</v>
      </c>
      <c r="N178" s="291">
        <v>9.1</v>
      </c>
    </row>
  </sheetData>
  <mergeCells count="90">
    <mergeCell ref="B114:N114"/>
    <mergeCell ref="B115:B116"/>
    <mergeCell ref="C172:C178"/>
    <mergeCell ref="D172:D178"/>
    <mergeCell ref="C139:C145"/>
    <mergeCell ref="D139:D145"/>
    <mergeCell ref="C148:D148"/>
    <mergeCell ref="C150:C156"/>
    <mergeCell ref="D150:D156"/>
    <mergeCell ref="C159:D159"/>
    <mergeCell ref="C161:C167"/>
    <mergeCell ref="D161:D167"/>
    <mergeCell ref="B169:N169"/>
    <mergeCell ref="B170:B171"/>
    <mergeCell ref="C170:D170"/>
    <mergeCell ref="B147:N147"/>
    <mergeCell ref="C95:C101"/>
    <mergeCell ref="D95:D101"/>
    <mergeCell ref="C71:D71"/>
    <mergeCell ref="C73:C79"/>
    <mergeCell ref="B92:N92"/>
    <mergeCell ref="B93:B94"/>
    <mergeCell ref="B81:N81"/>
    <mergeCell ref="D73:D79"/>
    <mergeCell ref="C82:D82"/>
    <mergeCell ref="C84:C90"/>
    <mergeCell ref="D84:D90"/>
    <mergeCell ref="C93:D93"/>
    <mergeCell ref="C62:C68"/>
    <mergeCell ref="D62:D68"/>
    <mergeCell ref="B59:N59"/>
    <mergeCell ref="B37:B38"/>
    <mergeCell ref="B48:B49"/>
    <mergeCell ref="B47:N47"/>
    <mergeCell ref="K37:K38"/>
    <mergeCell ref="L37:L38"/>
    <mergeCell ref="N37:N38"/>
    <mergeCell ref="C50:C56"/>
    <mergeCell ref="D50:D56"/>
    <mergeCell ref="C60:D60"/>
    <mergeCell ref="C28:C34"/>
    <mergeCell ref="D28:D34"/>
    <mergeCell ref="C37:D37"/>
    <mergeCell ref="C39:C45"/>
    <mergeCell ref="D39:D45"/>
    <mergeCell ref="B148:B149"/>
    <mergeCell ref="B158:N158"/>
    <mergeCell ref="B159:B160"/>
    <mergeCell ref="B103:N103"/>
    <mergeCell ref="B104:B105"/>
    <mergeCell ref="C104:D104"/>
    <mergeCell ref="B136:N136"/>
    <mergeCell ref="B137:B138"/>
    <mergeCell ref="C137:D137"/>
    <mergeCell ref="C106:C112"/>
    <mergeCell ref="D106:D112"/>
    <mergeCell ref="C115:D115"/>
    <mergeCell ref="C117:C123"/>
    <mergeCell ref="D117:D123"/>
    <mergeCell ref="C126:D126"/>
    <mergeCell ref="C128:C134"/>
    <mergeCell ref="D128:D134"/>
    <mergeCell ref="B125:N125"/>
    <mergeCell ref="B126:B127"/>
    <mergeCell ref="B36:N36"/>
    <mergeCell ref="B70:N70"/>
    <mergeCell ref="B71:B72"/>
    <mergeCell ref="B60:B61"/>
    <mergeCell ref="B82:B83"/>
    <mergeCell ref="E37:E38"/>
    <mergeCell ref="F37:F38"/>
    <mergeCell ref="G37:G38"/>
    <mergeCell ref="H37:H38"/>
    <mergeCell ref="I37:I38"/>
    <mergeCell ref="J37:J38"/>
    <mergeCell ref="M37:M38"/>
    <mergeCell ref="C48:D48"/>
    <mergeCell ref="B26:B27"/>
    <mergeCell ref="B3:N3"/>
    <mergeCell ref="B14:N14"/>
    <mergeCell ref="B25:N25"/>
    <mergeCell ref="B4:B5"/>
    <mergeCell ref="B15:B16"/>
    <mergeCell ref="C26:D26"/>
    <mergeCell ref="C4:D4"/>
    <mergeCell ref="C6:C12"/>
    <mergeCell ref="D6:D12"/>
    <mergeCell ref="C15:D15"/>
    <mergeCell ref="C17:C23"/>
    <mergeCell ref="D17:D23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22"/>
  <sheetViews>
    <sheetView showGridLines="0" topLeftCell="A4" zoomScale="140" zoomScaleNormal="140" workbookViewId="0">
      <selection activeCell="B14" sqref="B14:M14"/>
    </sheetView>
  </sheetViews>
  <sheetFormatPr baseColWidth="10" defaultColWidth="11.42578125" defaultRowHeight="15" x14ac:dyDescent="0.25"/>
  <cols>
    <col min="1" max="1" width="11.42578125" style="51"/>
    <col min="2" max="2" width="32.85546875" style="51" bestFit="1" customWidth="1"/>
    <col min="3" max="3" width="21.42578125" style="51" bestFit="1" customWidth="1"/>
    <col min="4" max="4" width="15.85546875" style="51" bestFit="1" customWidth="1"/>
    <col min="5" max="13" width="11.42578125" style="51"/>
    <col min="14" max="14" width="11.85546875" style="51" bestFit="1" customWidth="1"/>
    <col min="15" max="16384" width="11.42578125" style="51"/>
  </cols>
  <sheetData>
    <row r="3" spans="2:14" x14ac:dyDescent="0.25">
      <c r="B3" s="528" t="s">
        <v>46</v>
      </c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</row>
    <row r="4" spans="2:14" x14ac:dyDescent="0.25">
      <c r="B4" s="529" t="s">
        <v>346</v>
      </c>
      <c r="C4" s="531" t="s">
        <v>33</v>
      </c>
      <c r="D4" s="531"/>
      <c r="E4" s="531" t="s">
        <v>337</v>
      </c>
      <c r="F4" s="531" t="s">
        <v>84</v>
      </c>
      <c r="G4" s="531" t="s">
        <v>338</v>
      </c>
      <c r="H4" s="531" t="s">
        <v>339</v>
      </c>
      <c r="I4" s="531" t="s">
        <v>340</v>
      </c>
      <c r="J4" s="531" t="s">
        <v>341</v>
      </c>
      <c r="K4" s="531" t="s">
        <v>342</v>
      </c>
      <c r="L4" s="531" t="s">
        <v>343</v>
      </c>
      <c r="M4" s="531" t="s">
        <v>344</v>
      </c>
    </row>
    <row r="5" spans="2:14" x14ac:dyDescent="0.25">
      <c r="B5" s="530"/>
      <c r="C5" s="174" t="s">
        <v>298</v>
      </c>
      <c r="D5" s="174" t="s">
        <v>297</v>
      </c>
      <c r="E5" s="531"/>
      <c r="F5" s="531"/>
      <c r="G5" s="531"/>
      <c r="H5" s="531"/>
      <c r="I5" s="531"/>
      <c r="J5" s="531"/>
      <c r="K5" s="531"/>
      <c r="L5" s="531"/>
      <c r="M5" s="531"/>
    </row>
    <row r="6" spans="2:14" x14ac:dyDescent="0.25">
      <c r="B6" s="175" t="s">
        <v>27</v>
      </c>
      <c r="C6" s="527">
        <v>1000</v>
      </c>
      <c r="D6" s="527">
        <v>1000</v>
      </c>
      <c r="E6" s="183">
        <v>140</v>
      </c>
      <c r="F6" s="182">
        <v>140</v>
      </c>
      <c r="G6" s="182">
        <v>198</v>
      </c>
      <c r="H6" s="182">
        <v>170</v>
      </c>
      <c r="I6" s="182">
        <v>195</v>
      </c>
      <c r="J6" s="182">
        <v>220</v>
      </c>
      <c r="K6" s="182">
        <v>185</v>
      </c>
      <c r="L6" s="182">
        <v>200</v>
      </c>
      <c r="M6" s="182">
        <v>175</v>
      </c>
      <c r="N6" s="51">
        <f>MAX(E6:M12)</f>
        <v>540</v>
      </c>
    </row>
    <row r="7" spans="2:14" x14ac:dyDescent="0.25">
      <c r="B7" s="175" t="s">
        <v>28</v>
      </c>
      <c r="C7" s="527"/>
      <c r="D7" s="527"/>
      <c r="E7" s="179">
        <v>132</v>
      </c>
      <c r="F7" s="176">
        <v>108</v>
      </c>
      <c r="G7" s="176">
        <v>111</v>
      </c>
      <c r="H7" s="176">
        <v>115</v>
      </c>
      <c r="I7" s="176">
        <v>170</v>
      </c>
      <c r="J7" s="176">
        <v>140</v>
      </c>
      <c r="K7" s="176">
        <v>140</v>
      </c>
      <c r="L7" s="176">
        <v>150</v>
      </c>
      <c r="M7" s="176">
        <v>190</v>
      </c>
      <c r="N7" s="51">
        <f>MIN(E6:M12)</f>
        <v>62</v>
      </c>
    </row>
    <row r="8" spans="2:14" x14ac:dyDescent="0.25">
      <c r="B8" s="175" t="s">
        <v>29</v>
      </c>
      <c r="C8" s="527"/>
      <c r="D8" s="527"/>
      <c r="E8" s="179">
        <v>138</v>
      </c>
      <c r="F8" s="176">
        <v>118</v>
      </c>
      <c r="G8" s="176">
        <v>192</v>
      </c>
      <c r="H8" s="176">
        <v>130</v>
      </c>
      <c r="I8" s="176">
        <v>175</v>
      </c>
      <c r="J8" s="176">
        <v>230</v>
      </c>
      <c r="K8" s="176">
        <v>165</v>
      </c>
      <c r="L8" s="176">
        <v>190</v>
      </c>
      <c r="M8" s="176">
        <v>160</v>
      </c>
    </row>
    <row r="9" spans="2:14" x14ac:dyDescent="0.25">
      <c r="B9" s="175" t="s">
        <v>30</v>
      </c>
      <c r="C9" s="527"/>
      <c r="D9" s="527"/>
      <c r="E9" s="179">
        <v>136</v>
      </c>
      <c r="F9" s="176">
        <v>240</v>
      </c>
      <c r="G9" s="181">
        <v>213</v>
      </c>
      <c r="H9" s="176">
        <v>110</v>
      </c>
      <c r="I9" s="176">
        <v>165</v>
      </c>
      <c r="J9" s="176">
        <v>230</v>
      </c>
      <c r="K9" s="176">
        <v>180</v>
      </c>
      <c r="L9" s="176">
        <v>195</v>
      </c>
      <c r="M9" s="176">
        <v>170</v>
      </c>
    </row>
    <row r="10" spans="2:14" x14ac:dyDescent="0.25">
      <c r="B10" s="175" t="s">
        <v>31</v>
      </c>
      <c r="C10" s="527"/>
      <c r="D10" s="527"/>
      <c r="E10" s="179">
        <v>134</v>
      </c>
      <c r="F10" s="178">
        <v>100</v>
      </c>
      <c r="G10" s="176">
        <v>189</v>
      </c>
      <c r="H10" s="179">
        <v>135</v>
      </c>
      <c r="I10" s="176">
        <v>130</v>
      </c>
      <c r="J10" s="176">
        <v>205</v>
      </c>
      <c r="K10" s="176">
        <v>180</v>
      </c>
      <c r="L10" s="176">
        <v>230</v>
      </c>
      <c r="M10" s="176">
        <v>225</v>
      </c>
    </row>
    <row r="11" spans="2:14" x14ac:dyDescent="0.25">
      <c r="B11" s="175" t="s">
        <v>25</v>
      </c>
      <c r="C11" s="527"/>
      <c r="D11" s="527"/>
      <c r="E11" s="179">
        <v>65</v>
      </c>
      <c r="F11" s="176">
        <v>74</v>
      </c>
      <c r="G11" s="176">
        <v>84</v>
      </c>
      <c r="H11" s="176">
        <v>400</v>
      </c>
      <c r="I11" s="176">
        <v>100</v>
      </c>
      <c r="J11" s="176">
        <v>130</v>
      </c>
      <c r="K11" s="176">
        <v>110</v>
      </c>
      <c r="L11" s="176">
        <v>100</v>
      </c>
      <c r="M11" s="176">
        <v>140</v>
      </c>
    </row>
    <row r="12" spans="2:14" x14ac:dyDescent="0.25">
      <c r="B12" s="175" t="s">
        <v>32</v>
      </c>
      <c r="C12" s="527"/>
      <c r="D12" s="527"/>
      <c r="E12" s="180">
        <v>62</v>
      </c>
      <c r="F12" s="176">
        <v>66</v>
      </c>
      <c r="G12" s="176">
        <v>87</v>
      </c>
      <c r="H12" s="177">
        <v>540</v>
      </c>
      <c r="I12" s="176">
        <v>125</v>
      </c>
      <c r="J12" s="176">
        <v>120</v>
      </c>
      <c r="K12" s="176">
        <v>85</v>
      </c>
      <c r="L12" s="176">
        <v>95</v>
      </c>
      <c r="M12" s="176">
        <v>125</v>
      </c>
    </row>
    <row r="14" spans="2:14" x14ac:dyDescent="0.25">
      <c r="B14" s="528" t="s">
        <v>47</v>
      </c>
      <c r="C14" s="528"/>
      <c r="D14" s="528"/>
      <c r="E14" s="528"/>
      <c r="F14" s="528"/>
      <c r="G14" s="528"/>
      <c r="H14" s="528"/>
      <c r="I14" s="528"/>
      <c r="J14" s="528"/>
      <c r="K14" s="528"/>
      <c r="L14" s="528"/>
      <c r="M14" s="528"/>
    </row>
    <row r="15" spans="2:14" x14ac:dyDescent="0.25">
      <c r="B15" s="529" t="s">
        <v>346</v>
      </c>
      <c r="C15" s="531" t="s">
        <v>33</v>
      </c>
      <c r="D15" s="531"/>
      <c r="E15" s="531" t="s">
        <v>337</v>
      </c>
      <c r="F15" s="531" t="s">
        <v>84</v>
      </c>
      <c r="G15" s="531" t="s">
        <v>338</v>
      </c>
      <c r="H15" s="531" t="s">
        <v>339</v>
      </c>
      <c r="I15" s="531" t="s">
        <v>340</v>
      </c>
      <c r="J15" s="531" t="s">
        <v>341</v>
      </c>
      <c r="K15" s="531" t="s">
        <v>342</v>
      </c>
      <c r="L15" s="531" t="s">
        <v>343</v>
      </c>
      <c r="M15" s="531" t="s">
        <v>344</v>
      </c>
    </row>
    <row r="16" spans="2:14" x14ac:dyDescent="0.25">
      <c r="B16" s="530"/>
      <c r="C16" s="174" t="s">
        <v>298</v>
      </c>
      <c r="D16" s="174" t="s">
        <v>297</v>
      </c>
      <c r="E16" s="531"/>
      <c r="F16" s="531"/>
      <c r="G16" s="531"/>
      <c r="H16" s="531"/>
      <c r="I16" s="531"/>
      <c r="J16" s="531"/>
      <c r="K16" s="531"/>
      <c r="L16" s="531"/>
      <c r="M16" s="531"/>
    </row>
    <row r="17" spans="2:14" x14ac:dyDescent="0.25">
      <c r="B17" s="175" t="s">
        <v>27</v>
      </c>
      <c r="C17" s="527">
        <v>500</v>
      </c>
      <c r="D17" s="527" t="s">
        <v>350</v>
      </c>
      <c r="E17" s="185">
        <v>5.9</v>
      </c>
      <c r="F17" s="191">
        <v>976</v>
      </c>
      <c r="G17" s="186">
        <v>52.800000000000004</v>
      </c>
      <c r="H17" s="186">
        <v>331.2</v>
      </c>
      <c r="I17" s="186" t="s">
        <v>37</v>
      </c>
      <c r="J17" s="186" t="s">
        <v>37</v>
      </c>
      <c r="K17" s="186" t="s">
        <v>37</v>
      </c>
      <c r="L17" s="186" t="s">
        <v>37</v>
      </c>
      <c r="M17" s="186">
        <v>341.89398000000006</v>
      </c>
      <c r="N17" s="51">
        <f>MAX(E17:M23)</f>
        <v>976</v>
      </c>
    </row>
    <row r="18" spans="2:14" x14ac:dyDescent="0.25">
      <c r="B18" s="175" t="s">
        <v>28</v>
      </c>
      <c r="C18" s="527"/>
      <c r="D18" s="527"/>
      <c r="E18" s="187">
        <v>6.9</v>
      </c>
      <c r="F18" s="188">
        <v>698</v>
      </c>
      <c r="G18" s="188">
        <v>51.900000000000006</v>
      </c>
      <c r="H18" s="188">
        <v>76.400000000000006</v>
      </c>
      <c r="I18" s="188" t="s">
        <v>37</v>
      </c>
      <c r="J18" s="188" t="s">
        <v>37</v>
      </c>
      <c r="K18" s="188" t="s">
        <v>37</v>
      </c>
      <c r="L18" s="188" t="s">
        <v>37</v>
      </c>
      <c r="M18" s="188">
        <v>352.39072500000003</v>
      </c>
      <c r="N18" s="51">
        <f>MIN(E17:M23)</f>
        <v>3.3</v>
      </c>
    </row>
    <row r="19" spans="2:14" x14ac:dyDescent="0.25">
      <c r="B19" s="175" t="s">
        <v>29</v>
      </c>
      <c r="C19" s="527"/>
      <c r="D19" s="527"/>
      <c r="E19" s="184">
        <v>3.3</v>
      </c>
      <c r="F19" s="188">
        <v>907</v>
      </c>
      <c r="G19" s="188">
        <v>15</v>
      </c>
      <c r="H19" s="188">
        <v>26.8</v>
      </c>
      <c r="I19" s="188" t="s">
        <v>37</v>
      </c>
      <c r="J19" s="188" t="s">
        <v>37</v>
      </c>
      <c r="K19" s="188" t="s">
        <v>37</v>
      </c>
      <c r="L19" s="188" t="s">
        <v>37</v>
      </c>
      <c r="M19" s="188">
        <v>278.91350999999997</v>
      </c>
    </row>
    <row r="20" spans="2:14" x14ac:dyDescent="0.25">
      <c r="B20" s="175" t="s">
        <v>30</v>
      </c>
      <c r="C20" s="527"/>
      <c r="D20" s="527"/>
      <c r="E20" s="187">
        <v>5.6</v>
      </c>
      <c r="F20" s="188">
        <v>850</v>
      </c>
      <c r="G20" s="189">
        <v>23.700000000000003</v>
      </c>
      <c r="H20" s="188">
        <v>46.4</v>
      </c>
      <c r="I20" s="188" t="s">
        <v>37</v>
      </c>
      <c r="J20" s="188" t="s">
        <v>37</v>
      </c>
      <c r="K20" s="188" t="s">
        <v>37</v>
      </c>
      <c r="L20" s="188" t="s">
        <v>37</v>
      </c>
      <c r="M20" s="188">
        <v>200.93769</v>
      </c>
    </row>
    <row r="21" spans="2:14" x14ac:dyDescent="0.25">
      <c r="B21" s="175" t="s">
        <v>31</v>
      </c>
      <c r="C21" s="527"/>
      <c r="D21" s="527"/>
      <c r="E21" s="187">
        <v>7.9</v>
      </c>
      <c r="F21" s="190">
        <v>630</v>
      </c>
      <c r="G21" s="188">
        <v>30.900000000000002</v>
      </c>
      <c r="H21" s="187">
        <v>43.2</v>
      </c>
      <c r="I21" s="188" t="s">
        <v>37</v>
      </c>
      <c r="J21" s="188" t="s">
        <v>37</v>
      </c>
      <c r="K21" s="188" t="s">
        <v>37</v>
      </c>
      <c r="L21" s="188" t="s">
        <v>37</v>
      </c>
      <c r="M21" s="188">
        <v>182.94326999999998</v>
      </c>
    </row>
    <row r="22" spans="2:14" x14ac:dyDescent="0.25">
      <c r="B22" s="175" t="s">
        <v>25</v>
      </c>
      <c r="C22" s="527"/>
      <c r="D22" s="527"/>
      <c r="E22" s="187">
        <v>4.3</v>
      </c>
      <c r="F22" s="188">
        <v>143</v>
      </c>
      <c r="G22" s="188">
        <v>7.5</v>
      </c>
      <c r="H22" s="188">
        <v>157.6</v>
      </c>
      <c r="I22" s="188" t="s">
        <v>37</v>
      </c>
      <c r="J22" s="188" t="s">
        <v>37</v>
      </c>
      <c r="K22" s="188" t="s">
        <v>37</v>
      </c>
      <c r="L22" s="188" t="s">
        <v>37</v>
      </c>
      <c r="M22" s="188">
        <v>71.977679999999992</v>
      </c>
    </row>
    <row r="23" spans="2:14" x14ac:dyDescent="0.25">
      <c r="B23" s="175" t="s">
        <v>32</v>
      </c>
      <c r="C23" s="527"/>
      <c r="D23" s="527"/>
      <c r="E23" s="187">
        <v>4.4000000000000004</v>
      </c>
      <c r="F23" s="188">
        <v>117</v>
      </c>
      <c r="G23" s="188">
        <v>13.5</v>
      </c>
      <c r="H23" s="188">
        <v>22.4</v>
      </c>
      <c r="I23" s="188" t="s">
        <v>37</v>
      </c>
      <c r="J23" s="188" t="s">
        <v>37</v>
      </c>
      <c r="K23" s="188" t="s">
        <v>37</v>
      </c>
      <c r="L23" s="188" t="s">
        <v>37</v>
      </c>
      <c r="M23" s="188">
        <v>38.987909999999999</v>
      </c>
    </row>
    <row r="25" spans="2:14" x14ac:dyDescent="0.25">
      <c r="B25" s="528" t="s">
        <v>351</v>
      </c>
      <c r="C25" s="528"/>
      <c r="D25" s="528"/>
      <c r="E25" s="528"/>
      <c r="F25" s="528"/>
      <c r="G25" s="528"/>
      <c r="H25" s="528"/>
      <c r="I25" s="528"/>
      <c r="J25" s="528"/>
      <c r="K25" s="528"/>
      <c r="L25" s="528"/>
      <c r="M25" s="528"/>
    </row>
    <row r="26" spans="2:14" x14ac:dyDescent="0.25">
      <c r="B26" s="529" t="s">
        <v>346</v>
      </c>
      <c r="C26" s="531" t="s">
        <v>33</v>
      </c>
      <c r="D26" s="531"/>
      <c r="E26" s="531" t="s">
        <v>337</v>
      </c>
      <c r="F26" s="531" t="s">
        <v>84</v>
      </c>
      <c r="G26" s="531" t="s">
        <v>338</v>
      </c>
      <c r="H26" s="531" t="s">
        <v>339</v>
      </c>
      <c r="I26" s="531" t="s">
        <v>340</v>
      </c>
      <c r="J26" s="531" t="s">
        <v>341</v>
      </c>
      <c r="K26" s="531" t="s">
        <v>342</v>
      </c>
      <c r="L26" s="531" t="s">
        <v>343</v>
      </c>
      <c r="M26" s="531" t="s">
        <v>344</v>
      </c>
    </row>
    <row r="27" spans="2:14" x14ac:dyDescent="0.25">
      <c r="B27" s="530"/>
      <c r="C27" s="174" t="s">
        <v>298</v>
      </c>
      <c r="D27" s="174" t="s">
        <v>297</v>
      </c>
      <c r="E27" s="531"/>
      <c r="F27" s="531"/>
      <c r="G27" s="531"/>
      <c r="H27" s="531"/>
      <c r="I27" s="531"/>
      <c r="J27" s="531"/>
      <c r="K27" s="531"/>
      <c r="L27" s="531"/>
      <c r="M27" s="531"/>
    </row>
    <row r="28" spans="2:14" x14ac:dyDescent="0.25">
      <c r="B28" s="175" t="s">
        <v>27</v>
      </c>
      <c r="C28" s="527">
        <v>100</v>
      </c>
      <c r="D28" s="527">
        <v>100</v>
      </c>
      <c r="E28" s="192">
        <v>5.4</v>
      </c>
      <c r="F28" s="193">
        <v>6.8</v>
      </c>
      <c r="G28" s="193">
        <v>9.8000000000000007</v>
      </c>
      <c r="H28" s="193" t="s">
        <v>323</v>
      </c>
      <c r="I28" s="193">
        <v>4.3</v>
      </c>
      <c r="J28" s="193">
        <v>3.1</v>
      </c>
      <c r="K28" s="193">
        <v>5.4</v>
      </c>
      <c r="L28" s="193">
        <v>12.4</v>
      </c>
      <c r="M28" s="193">
        <v>10.8</v>
      </c>
      <c r="N28" s="51">
        <f>MAX(E28:M34)</f>
        <v>13.7</v>
      </c>
    </row>
    <row r="29" spans="2:14" x14ac:dyDescent="0.25">
      <c r="B29" s="175" t="s">
        <v>28</v>
      </c>
      <c r="C29" s="527"/>
      <c r="D29" s="527"/>
      <c r="E29" s="194">
        <v>6.5</v>
      </c>
      <c r="F29" s="195">
        <v>5.5</v>
      </c>
      <c r="G29" s="195">
        <v>7</v>
      </c>
      <c r="H29" s="195">
        <v>6.5</v>
      </c>
      <c r="I29" s="195">
        <v>5.3</v>
      </c>
      <c r="J29" s="195">
        <v>4.0999999999999996</v>
      </c>
      <c r="K29" s="195">
        <v>4.7</v>
      </c>
      <c r="L29" s="195">
        <v>11.6</v>
      </c>
      <c r="M29" s="195">
        <v>10.199999999999999</v>
      </c>
      <c r="N29" s="51">
        <f>MIN(E28:M34)</f>
        <v>0.5</v>
      </c>
    </row>
    <row r="30" spans="2:14" x14ac:dyDescent="0.25">
      <c r="B30" s="175" t="s">
        <v>29</v>
      </c>
      <c r="C30" s="527"/>
      <c r="D30" s="527"/>
      <c r="E30" s="194">
        <v>5.6</v>
      </c>
      <c r="F30" s="195">
        <v>5</v>
      </c>
      <c r="G30" s="195">
        <v>5.7</v>
      </c>
      <c r="H30" s="195">
        <v>5.6</v>
      </c>
      <c r="I30" s="195">
        <v>5.5</v>
      </c>
      <c r="J30" s="195">
        <v>3.1</v>
      </c>
      <c r="K30" s="195">
        <v>5.0999999999999996</v>
      </c>
      <c r="L30" s="195">
        <v>12.6</v>
      </c>
      <c r="M30" s="195">
        <v>9.3000000000000007</v>
      </c>
    </row>
    <row r="31" spans="2:14" x14ac:dyDescent="0.25">
      <c r="B31" s="175" t="s">
        <v>30</v>
      </c>
      <c r="C31" s="527"/>
      <c r="D31" s="527"/>
      <c r="E31" s="194">
        <v>5.2</v>
      </c>
      <c r="F31" s="195">
        <v>4.2</v>
      </c>
      <c r="G31" s="196">
        <v>2</v>
      </c>
      <c r="H31" s="195">
        <v>3.5</v>
      </c>
      <c r="I31" s="195">
        <v>5.2</v>
      </c>
      <c r="J31" s="195">
        <v>3.2</v>
      </c>
      <c r="K31" s="195">
        <v>5</v>
      </c>
      <c r="L31" s="195">
        <v>12.3</v>
      </c>
      <c r="M31" s="195">
        <v>9.5</v>
      </c>
    </row>
    <row r="32" spans="2:14" x14ac:dyDescent="0.25">
      <c r="B32" s="175" t="s">
        <v>31</v>
      </c>
      <c r="C32" s="527"/>
      <c r="D32" s="527"/>
      <c r="E32" s="194">
        <v>6.5</v>
      </c>
      <c r="F32" s="197">
        <v>3.1</v>
      </c>
      <c r="G32" s="195">
        <v>4.8</v>
      </c>
      <c r="H32" s="194">
        <v>4.2</v>
      </c>
      <c r="I32" s="195">
        <v>3.9</v>
      </c>
      <c r="J32" s="195">
        <v>3.4</v>
      </c>
      <c r="K32" s="195">
        <v>4.9000000000000004</v>
      </c>
      <c r="L32" s="198">
        <v>13.7</v>
      </c>
      <c r="M32" s="195">
        <v>8.8000000000000007</v>
      </c>
    </row>
    <row r="33" spans="2:14" x14ac:dyDescent="0.25">
      <c r="B33" s="175" t="s">
        <v>25</v>
      </c>
      <c r="C33" s="527"/>
      <c r="D33" s="527"/>
      <c r="E33" s="194">
        <v>3.4</v>
      </c>
      <c r="F33" s="195">
        <v>0.7</v>
      </c>
      <c r="G33" s="195">
        <v>2.6</v>
      </c>
      <c r="H33" s="195">
        <v>7.8</v>
      </c>
      <c r="I33" s="195">
        <v>0.8</v>
      </c>
      <c r="J33" s="199">
        <v>0.5</v>
      </c>
      <c r="K33" s="195">
        <v>1.1000000000000001</v>
      </c>
      <c r="L33" s="195">
        <v>10.3</v>
      </c>
      <c r="M33" s="195">
        <v>7.6</v>
      </c>
    </row>
    <row r="34" spans="2:14" x14ac:dyDescent="0.25">
      <c r="B34" s="175" t="s">
        <v>32</v>
      </c>
      <c r="C34" s="527"/>
      <c r="D34" s="527"/>
      <c r="E34" s="194">
        <v>4.5999999999999996</v>
      </c>
      <c r="F34" s="195">
        <v>1</v>
      </c>
      <c r="G34" s="195">
        <v>1.5</v>
      </c>
      <c r="H34" s="195">
        <v>10</v>
      </c>
      <c r="I34" s="195">
        <v>1.1000000000000001</v>
      </c>
      <c r="J34" s="195">
        <v>1</v>
      </c>
      <c r="K34" s="195">
        <v>1.2</v>
      </c>
      <c r="L34" s="195">
        <v>11.2</v>
      </c>
      <c r="M34" s="195">
        <v>5</v>
      </c>
    </row>
    <row r="36" spans="2:14" x14ac:dyDescent="0.25">
      <c r="B36" s="528" t="s">
        <v>352</v>
      </c>
      <c r="C36" s="528"/>
      <c r="D36" s="528"/>
      <c r="E36" s="528"/>
      <c r="F36" s="528"/>
      <c r="G36" s="528"/>
      <c r="H36" s="528"/>
      <c r="I36" s="528"/>
      <c r="J36" s="528"/>
      <c r="K36" s="528"/>
      <c r="L36" s="528"/>
      <c r="M36" s="528"/>
    </row>
    <row r="37" spans="2:14" x14ac:dyDescent="0.25">
      <c r="B37" s="529" t="s">
        <v>346</v>
      </c>
      <c r="C37" s="531" t="s">
        <v>33</v>
      </c>
      <c r="D37" s="531"/>
      <c r="E37" s="531" t="s">
        <v>337</v>
      </c>
      <c r="F37" s="531" t="s">
        <v>84</v>
      </c>
      <c r="G37" s="531" t="s">
        <v>338</v>
      </c>
      <c r="H37" s="531" t="s">
        <v>339</v>
      </c>
      <c r="I37" s="531" t="s">
        <v>340</v>
      </c>
      <c r="J37" s="531" t="s">
        <v>341</v>
      </c>
      <c r="K37" s="531" t="s">
        <v>342</v>
      </c>
      <c r="L37" s="531" t="s">
        <v>343</v>
      </c>
      <c r="M37" s="531" t="s">
        <v>344</v>
      </c>
    </row>
    <row r="38" spans="2:14" x14ac:dyDescent="0.25">
      <c r="B38" s="530"/>
      <c r="C38" s="174" t="s">
        <v>298</v>
      </c>
      <c r="D38" s="174" t="s">
        <v>297</v>
      </c>
      <c r="E38" s="531"/>
      <c r="F38" s="531"/>
      <c r="G38" s="531"/>
      <c r="H38" s="531"/>
      <c r="I38" s="531"/>
      <c r="J38" s="531"/>
      <c r="K38" s="531"/>
      <c r="L38" s="531"/>
      <c r="M38" s="531"/>
    </row>
    <row r="39" spans="2:14" x14ac:dyDescent="0.25">
      <c r="B39" s="175" t="s">
        <v>27</v>
      </c>
      <c r="C39" s="527">
        <v>10</v>
      </c>
      <c r="D39" s="527">
        <v>10</v>
      </c>
      <c r="E39" s="192">
        <v>11</v>
      </c>
      <c r="F39" s="193" t="s">
        <v>37</v>
      </c>
      <c r="G39" s="193" t="s">
        <v>37</v>
      </c>
      <c r="H39" s="193" t="s">
        <v>37</v>
      </c>
      <c r="I39" s="193" t="s">
        <v>37</v>
      </c>
      <c r="J39" s="193" t="s">
        <v>37</v>
      </c>
      <c r="K39" s="193" t="s">
        <v>37</v>
      </c>
      <c r="L39" s="193" t="s">
        <v>37</v>
      </c>
      <c r="M39" s="193">
        <v>5</v>
      </c>
      <c r="N39" s="51">
        <f>MAX(E39:M45)</f>
        <v>30</v>
      </c>
    </row>
    <row r="40" spans="2:14" x14ac:dyDescent="0.25">
      <c r="B40" s="175" t="s">
        <v>28</v>
      </c>
      <c r="C40" s="527"/>
      <c r="D40" s="527"/>
      <c r="E40" s="194">
        <v>13</v>
      </c>
      <c r="F40" s="195" t="s">
        <v>37</v>
      </c>
      <c r="G40" s="195" t="s">
        <v>37</v>
      </c>
      <c r="H40" s="195" t="s">
        <v>37</v>
      </c>
      <c r="I40" s="195" t="s">
        <v>37</v>
      </c>
      <c r="J40" s="195" t="s">
        <v>37</v>
      </c>
      <c r="K40" s="195" t="s">
        <v>37</v>
      </c>
      <c r="L40" s="195" t="s">
        <v>37</v>
      </c>
      <c r="M40" s="195">
        <v>8</v>
      </c>
      <c r="N40" s="51">
        <f>MIN(E39:M45)</f>
        <v>5</v>
      </c>
    </row>
    <row r="41" spans="2:14" x14ac:dyDescent="0.25">
      <c r="B41" s="175" t="s">
        <v>29</v>
      </c>
      <c r="C41" s="527"/>
      <c r="D41" s="527"/>
      <c r="E41" s="194">
        <v>9</v>
      </c>
      <c r="F41" s="195" t="s">
        <v>37</v>
      </c>
      <c r="G41" s="195" t="s">
        <v>37</v>
      </c>
      <c r="H41" s="195" t="s">
        <v>37</v>
      </c>
      <c r="I41" s="195" t="s">
        <v>37</v>
      </c>
      <c r="J41" s="195" t="s">
        <v>37</v>
      </c>
      <c r="K41" s="195" t="s">
        <v>37</v>
      </c>
      <c r="L41" s="195" t="s">
        <v>37</v>
      </c>
      <c r="M41" s="195">
        <v>7</v>
      </c>
    </row>
    <row r="42" spans="2:14" x14ac:dyDescent="0.25">
      <c r="B42" s="175" t="s">
        <v>30</v>
      </c>
      <c r="C42" s="527"/>
      <c r="D42" s="527"/>
      <c r="E42" s="194">
        <v>14</v>
      </c>
      <c r="F42" s="195" t="s">
        <v>37</v>
      </c>
      <c r="G42" s="196" t="s">
        <v>37</v>
      </c>
      <c r="H42" s="195" t="s">
        <v>37</v>
      </c>
      <c r="I42" s="195" t="s">
        <v>37</v>
      </c>
      <c r="J42" s="195" t="s">
        <v>37</v>
      </c>
      <c r="K42" s="195" t="s">
        <v>37</v>
      </c>
      <c r="L42" s="195" t="s">
        <v>37</v>
      </c>
      <c r="M42" s="195">
        <v>10</v>
      </c>
    </row>
    <row r="43" spans="2:14" x14ac:dyDescent="0.25">
      <c r="B43" s="175" t="s">
        <v>31</v>
      </c>
      <c r="C43" s="527"/>
      <c r="D43" s="527"/>
      <c r="E43" s="194">
        <v>20</v>
      </c>
      <c r="F43" s="197" t="s">
        <v>37</v>
      </c>
      <c r="G43" s="195" t="s">
        <v>37</v>
      </c>
      <c r="H43" s="194" t="s">
        <v>37</v>
      </c>
      <c r="I43" s="195" t="s">
        <v>37</v>
      </c>
      <c r="J43" s="195" t="s">
        <v>37</v>
      </c>
      <c r="K43" s="195" t="s">
        <v>37</v>
      </c>
      <c r="L43" s="195" t="s">
        <v>37</v>
      </c>
      <c r="M43" s="199">
        <v>5</v>
      </c>
    </row>
    <row r="44" spans="2:14" x14ac:dyDescent="0.25">
      <c r="B44" s="175" t="s">
        <v>25</v>
      </c>
      <c r="C44" s="527"/>
      <c r="D44" s="527"/>
      <c r="E44" s="194">
        <v>14</v>
      </c>
      <c r="F44" s="195" t="s">
        <v>37</v>
      </c>
      <c r="G44" s="195" t="s">
        <v>37</v>
      </c>
      <c r="H44" s="195" t="s">
        <v>37</v>
      </c>
      <c r="I44" s="195" t="s">
        <v>37</v>
      </c>
      <c r="J44" s="195" t="s">
        <v>37</v>
      </c>
      <c r="K44" s="195" t="s">
        <v>37</v>
      </c>
      <c r="L44" s="195" t="s">
        <v>37</v>
      </c>
      <c r="M44" s="195">
        <v>8</v>
      </c>
    </row>
    <row r="45" spans="2:14" x14ac:dyDescent="0.25">
      <c r="B45" s="175" t="s">
        <v>32</v>
      </c>
      <c r="C45" s="527"/>
      <c r="D45" s="527"/>
      <c r="E45" s="200">
        <v>30</v>
      </c>
      <c r="F45" s="195" t="s">
        <v>37</v>
      </c>
      <c r="G45" s="195" t="s">
        <v>37</v>
      </c>
      <c r="H45" s="195" t="s">
        <v>37</v>
      </c>
      <c r="I45" s="195" t="s">
        <v>37</v>
      </c>
      <c r="J45" s="195" t="s">
        <v>37</v>
      </c>
      <c r="K45" s="195" t="s">
        <v>37</v>
      </c>
      <c r="L45" s="195" t="s">
        <v>37</v>
      </c>
      <c r="M45" s="195">
        <v>6</v>
      </c>
    </row>
    <row r="47" spans="2:14" x14ac:dyDescent="0.25">
      <c r="B47" s="528" t="s">
        <v>51</v>
      </c>
      <c r="C47" s="528"/>
      <c r="D47" s="528"/>
      <c r="E47" s="528"/>
      <c r="F47" s="528"/>
      <c r="G47" s="528"/>
      <c r="H47" s="528"/>
      <c r="I47" s="528"/>
      <c r="J47" s="528"/>
      <c r="K47" s="528"/>
      <c r="L47" s="528"/>
      <c r="M47" s="528"/>
    </row>
    <row r="48" spans="2:14" x14ac:dyDescent="0.25">
      <c r="B48" s="529" t="s">
        <v>346</v>
      </c>
      <c r="C48" s="531" t="s">
        <v>33</v>
      </c>
      <c r="D48" s="531"/>
      <c r="E48" s="531" t="s">
        <v>337</v>
      </c>
      <c r="F48" s="531" t="s">
        <v>84</v>
      </c>
      <c r="G48" s="531" t="s">
        <v>338</v>
      </c>
      <c r="H48" s="531" t="s">
        <v>339</v>
      </c>
      <c r="I48" s="531" t="s">
        <v>340</v>
      </c>
      <c r="J48" s="531" t="s">
        <v>341</v>
      </c>
      <c r="K48" s="531" t="s">
        <v>342</v>
      </c>
      <c r="L48" s="531" t="s">
        <v>343</v>
      </c>
      <c r="M48" s="531" t="s">
        <v>344</v>
      </c>
    </row>
    <row r="49" spans="2:14" x14ac:dyDescent="0.25">
      <c r="B49" s="530"/>
      <c r="C49" s="174" t="s">
        <v>298</v>
      </c>
      <c r="D49" s="174" t="s">
        <v>297</v>
      </c>
      <c r="E49" s="531"/>
      <c r="F49" s="531"/>
      <c r="G49" s="531"/>
      <c r="H49" s="531"/>
      <c r="I49" s="531"/>
      <c r="J49" s="531"/>
      <c r="K49" s="531"/>
      <c r="L49" s="531"/>
      <c r="M49" s="531"/>
    </row>
    <row r="50" spans="2:14" x14ac:dyDescent="0.25">
      <c r="B50" s="175" t="s">
        <v>27</v>
      </c>
      <c r="C50" s="527">
        <v>0.2</v>
      </c>
      <c r="D50" s="527">
        <v>0.5</v>
      </c>
      <c r="E50" s="201">
        <v>0.84</v>
      </c>
      <c r="F50" s="202">
        <v>1.53</v>
      </c>
      <c r="G50" s="202">
        <v>3.71</v>
      </c>
      <c r="H50" s="202">
        <v>2.9</v>
      </c>
      <c r="I50" s="202">
        <v>0.06</v>
      </c>
      <c r="J50" s="202">
        <v>0.39</v>
      </c>
      <c r="K50" s="202">
        <v>0.26300000000000001</v>
      </c>
      <c r="L50" s="202">
        <v>0.51</v>
      </c>
      <c r="M50" s="202">
        <v>1.38</v>
      </c>
      <c r="N50" s="51">
        <f>MAX(E50:M56)</f>
        <v>9.24</v>
      </c>
    </row>
    <row r="51" spans="2:14" x14ac:dyDescent="0.25">
      <c r="B51" s="175" t="s">
        <v>28</v>
      </c>
      <c r="C51" s="527"/>
      <c r="D51" s="527"/>
      <c r="E51" s="203">
        <v>1.58</v>
      </c>
      <c r="F51" s="204">
        <v>2.4700000000000002</v>
      </c>
      <c r="G51" s="204">
        <v>4.75</v>
      </c>
      <c r="H51" s="204">
        <v>3.16</v>
      </c>
      <c r="I51" s="204">
        <v>0.97</v>
      </c>
      <c r="J51" s="204">
        <v>0.56000000000000005</v>
      </c>
      <c r="K51" s="204">
        <v>0.36399999999999999</v>
      </c>
      <c r="L51" s="204">
        <v>0.62</v>
      </c>
      <c r="M51" s="204">
        <v>1.7</v>
      </c>
      <c r="N51" s="51">
        <f>MIN(E50:M56)</f>
        <v>0.03</v>
      </c>
    </row>
    <row r="52" spans="2:14" x14ac:dyDescent="0.25">
      <c r="B52" s="175" t="s">
        <v>29</v>
      </c>
      <c r="C52" s="527"/>
      <c r="D52" s="527"/>
      <c r="E52" s="203">
        <v>1.08</v>
      </c>
      <c r="F52" s="204">
        <v>1.24</v>
      </c>
      <c r="G52" s="204">
        <v>4.07</v>
      </c>
      <c r="H52" s="204">
        <v>3.62</v>
      </c>
      <c r="I52" s="204">
        <v>0.16</v>
      </c>
      <c r="J52" s="204">
        <v>0.76</v>
      </c>
      <c r="K52" s="204">
        <v>0.33</v>
      </c>
      <c r="L52" s="204">
        <v>0.39300000000000002</v>
      </c>
      <c r="M52" s="204">
        <v>1.92</v>
      </c>
    </row>
    <row r="53" spans="2:14" x14ac:dyDescent="0.25">
      <c r="B53" s="175" t="s">
        <v>30</v>
      </c>
      <c r="C53" s="527"/>
      <c r="D53" s="527"/>
      <c r="E53" s="203">
        <v>1.1100000000000001</v>
      </c>
      <c r="F53" s="204">
        <v>1.3</v>
      </c>
      <c r="G53" s="205">
        <v>9.24</v>
      </c>
      <c r="H53" s="204">
        <v>4.21</v>
      </c>
      <c r="I53" s="204">
        <v>0.28999999999999998</v>
      </c>
      <c r="J53" s="204">
        <v>0.28999999999999998</v>
      </c>
      <c r="K53" s="204">
        <v>0.28999999999999998</v>
      </c>
      <c r="L53" s="204">
        <v>0.6</v>
      </c>
      <c r="M53" s="204">
        <v>1.69</v>
      </c>
    </row>
    <row r="54" spans="2:14" x14ac:dyDescent="0.25">
      <c r="B54" s="175" t="s">
        <v>31</v>
      </c>
      <c r="C54" s="527"/>
      <c r="D54" s="527"/>
      <c r="E54" s="203">
        <v>0.67</v>
      </c>
      <c r="F54" s="206">
        <v>1.1100000000000001</v>
      </c>
      <c r="G54" s="204">
        <v>3.01</v>
      </c>
      <c r="H54" s="203">
        <v>3.51</v>
      </c>
      <c r="I54" s="204">
        <v>0.31</v>
      </c>
      <c r="J54" s="204">
        <v>0.96</v>
      </c>
      <c r="K54" s="204">
        <v>0.29699999999999999</v>
      </c>
      <c r="L54" s="204">
        <v>0.21</v>
      </c>
      <c r="M54" s="204">
        <v>1.1100000000000001</v>
      </c>
    </row>
    <row r="55" spans="2:14" x14ac:dyDescent="0.25">
      <c r="B55" s="175" t="s">
        <v>25</v>
      </c>
      <c r="C55" s="527"/>
      <c r="D55" s="527"/>
      <c r="E55" s="203">
        <v>0.33</v>
      </c>
      <c r="F55" s="204">
        <v>0.2</v>
      </c>
      <c r="G55" s="204">
        <v>0.41</v>
      </c>
      <c r="H55" s="204">
        <v>0.21</v>
      </c>
      <c r="I55" s="207">
        <v>0.03</v>
      </c>
      <c r="J55" s="204">
        <v>0.08</v>
      </c>
      <c r="K55" s="204">
        <v>0.21</v>
      </c>
      <c r="L55" s="204">
        <v>0.38100000000000001</v>
      </c>
      <c r="M55" s="204">
        <v>0.11</v>
      </c>
    </row>
    <row r="56" spans="2:14" x14ac:dyDescent="0.25">
      <c r="B56" s="175" t="s">
        <v>32</v>
      </c>
      <c r="C56" s="527"/>
      <c r="D56" s="527"/>
      <c r="E56" s="203">
        <v>0.39</v>
      </c>
      <c r="F56" s="204">
        <v>0.47</v>
      </c>
      <c r="G56" s="204">
        <v>0.78</v>
      </c>
      <c r="H56" s="204">
        <v>0.39</v>
      </c>
      <c r="I56" s="204">
        <v>0.81</v>
      </c>
      <c r="J56" s="204">
        <v>0.04</v>
      </c>
      <c r="K56" s="204">
        <v>0.24</v>
      </c>
      <c r="L56" s="204">
        <v>0.44</v>
      </c>
      <c r="M56" s="204">
        <v>0.1</v>
      </c>
    </row>
    <row r="58" spans="2:14" x14ac:dyDescent="0.25">
      <c r="B58" s="528" t="s">
        <v>353</v>
      </c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</row>
    <row r="59" spans="2:14" x14ac:dyDescent="0.25">
      <c r="B59" s="529" t="s">
        <v>346</v>
      </c>
      <c r="C59" s="531" t="s">
        <v>33</v>
      </c>
      <c r="D59" s="531"/>
      <c r="E59" s="531" t="s">
        <v>337</v>
      </c>
      <c r="F59" s="531" t="s">
        <v>84</v>
      </c>
      <c r="G59" s="531" t="s">
        <v>338</v>
      </c>
      <c r="H59" s="531" t="s">
        <v>339</v>
      </c>
      <c r="I59" s="531" t="s">
        <v>340</v>
      </c>
      <c r="J59" s="531" t="s">
        <v>341</v>
      </c>
      <c r="K59" s="531" t="s">
        <v>342</v>
      </c>
      <c r="L59" s="531" t="s">
        <v>343</v>
      </c>
      <c r="M59" s="531" t="s">
        <v>344</v>
      </c>
    </row>
    <row r="60" spans="2:14" x14ac:dyDescent="0.25">
      <c r="B60" s="530"/>
      <c r="C60" s="174" t="s">
        <v>298</v>
      </c>
      <c r="D60" s="174" t="s">
        <v>297</v>
      </c>
      <c r="E60" s="531"/>
      <c r="F60" s="531"/>
      <c r="G60" s="531"/>
      <c r="H60" s="531"/>
      <c r="I60" s="531"/>
      <c r="J60" s="531"/>
      <c r="K60" s="531"/>
      <c r="L60" s="531"/>
      <c r="M60" s="531"/>
    </row>
    <row r="61" spans="2:14" x14ac:dyDescent="0.25">
      <c r="B61" s="175" t="s">
        <v>27</v>
      </c>
      <c r="C61" s="527">
        <v>0.1</v>
      </c>
      <c r="D61" s="527">
        <v>1</v>
      </c>
      <c r="E61" s="201">
        <v>1.2999999999999999E-2</v>
      </c>
      <c r="F61" s="202">
        <v>1.2999999999999999E-2</v>
      </c>
      <c r="G61" s="202">
        <v>0.38</v>
      </c>
      <c r="H61" s="202">
        <v>2.4E-2</v>
      </c>
      <c r="I61" s="208" t="s">
        <v>37</v>
      </c>
      <c r="J61" s="208" t="s">
        <v>37</v>
      </c>
      <c r="K61" s="208" t="s">
        <v>37</v>
      </c>
      <c r="L61" s="208" t="s">
        <v>37</v>
      </c>
      <c r="M61" s="202">
        <v>2.3E-2</v>
      </c>
      <c r="N61" s="51">
        <f>MAX(E61:M67)</f>
        <v>0.38</v>
      </c>
    </row>
    <row r="62" spans="2:14" x14ac:dyDescent="0.25">
      <c r="B62" s="175" t="s">
        <v>28</v>
      </c>
      <c r="C62" s="527"/>
      <c r="D62" s="527"/>
      <c r="E62" s="203">
        <v>3.7999999999999999E-2</v>
      </c>
      <c r="F62" s="204">
        <v>1.2E-2</v>
      </c>
      <c r="G62" s="204">
        <v>0.155</v>
      </c>
      <c r="H62" s="204">
        <v>2E-3</v>
      </c>
      <c r="I62" s="208" t="s">
        <v>37</v>
      </c>
      <c r="J62" s="208" t="s">
        <v>37</v>
      </c>
      <c r="K62" s="208" t="s">
        <v>37</v>
      </c>
      <c r="L62" s="208" t="s">
        <v>37</v>
      </c>
      <c r="M62" s="204">
        <v>2.5000000000000001E-2</v>
      </c>
      <c r="N62" s="51">
        <f>MIN(E61:M67)</f>
        <v>1E-3</v>
      </c>
    </row>
    <row r="63" spans="2:14" x14ac:dyDescent="0.25">
      <c r="B63" s="175" t="s">
        <v>29</v>
      </c>
      <c r="C63" s="527"/>
      <c r="D63" s="527"/>
      <c r="E63" s="203">
        <v>2.9000000000000001E-2</v>
      </c>
      <c r="F63" s="204">
        <v>1.7999999999999999E-2</v>
      </c>
      <c r="G63" s="204">
        <v>0.29599999999999999</v>
      </c>
      <c r="H63" s="204">
        <v>8.0000000000000002E-3</v>
      </c>
      <c r="I63" s="208" t="s">
        <v>37</v>
      </c>
      <c r="J63" s="208" t="s">
        <v>37</v>
      </c>
      <c r="K63" s="208" t="s">
        <v>37</v>
      </c>
      <c r="L63" s="208" t="s">
        <v>37</v>
      </c>
      <c r="M63" s="204">
        <v>2.5999999999999999E-2</v>
      </c>
    </row>
    <row r="64" spans="2:14" x14ac:dyDescent="0.25">
      <c r="B64" s="175" t="s">
        <v>30</v>
      </c>
      <c r="C64" s="527"/>
      <c r="D64" s="527"/>
      <c r="E64" s="203">
        <v>0.03</v>
      </c>
      <c r="F64" s="204">
        <v>1.4E-2</v>
      </c>
      <c r="G64" s="209">
        <v>0.111</v>
      </c>
      <c r="H64" s="211">
        <v>1E-3</v>
      </c>
      <c r="I64" s="208" t="s">
        <v>37</v>
      </c>
      <c r="J64" s="208" t="s">
        <v>37</v>
      </c>
      <c r="K64" s="208" t="s">
        <v>37</v>
      </c>
      <c r="L64" s="208" t="s">
        <v>37</v>
      </c>
      <c r="M64" s="204">
        <v>2.1000000000000001E-2</v>
      </c>
    </row>
    <row r="65" spans="2:14" x14ac:dyDescent="0.25">
      <c r="B65" s="175" t="s">
        <v>31</v>
      </c>
      <c r="C65" s="527"/>
      <c r="D65" s="527"/>
      <c r="E65" s="203">
        <v>4.2000000000000003E-2</v>
      </c>
      <c r="F65" s="206">
        <v>5.0999999999999997E-2</v>
      </c>
      <c r="G65" s="204">
        <v>7.8E-2</v>
      </c>
      <c r="H65" s="203">
        <v>1.7000000000000001E-2</v>
      </c>
      <c r="I65" s="208" t="s">
        <v>37</v>
      </c>
      <c r="J65" s="208" t="s">
        <v>37</v>
      </c>
      <c r="K65" s="208" t="s">
        <v>37</v>
      </c>
      <c r="L65" s="208" t="s">
        <v>37</v>
      </c>
      <c r="M65" s="204">
        <v>3.9E-2</v>
      </c>
    </row>
    <row r="66" spans="2:14" x14ac:dyDescent="0.25">
      <c r="B66" s="175" t="s">
        <v>25</v>
      </c>
      <c r="C66" s="527"/>
      <c r="D66" s="527"/>
      <c r="E66" s="203">
        <v>1.4999999999999999E-2</v>
      </c>
      <c r="F66" s="204">
        <v>0.153</v>
      </c>
      <c r="G66" s="204">
        <v>0.14599999999999999</v>
      </c>
      <c r="H66" s="204">
        <v>8.9999999999999993E-3</v>
      </c>
      <c r="I66" s="208" t="s">
        <v>37</v>
      </c>
      <c r="J66" s="208" t="s">
        <v>37</v>
      </c>
      <c r="K66" s="208" t="s">
        <v>37</v>
      </c>
      <c r="L66" s="208" t="s">
        <v>37</v>
      </c>
      <c r="M66" s="204">
        <v>2.5999999999999999E-2</v>
      </c>
    </row>
    <row r="67" spans="2:14" x14ac:dyDescent="0.25">
      <c r="B67" s="175" t="s">
        <v>32</v>
      </c>
      <c r="C67" s="527"/>
      <c r="D67" s="527"/>
      <c r="E67" s="203">
        <v>2.3E-2</v>
      </c>
      <c r="F67" s="204">
        <v>1.6E-2</v>
      </c>
      <c r="G67" s="204">
        <v>0.11</v>
      </c>
      <c r="H67" s="204">
        <v>6.6000000000000003E-2</v>
      </c>
      <c r="I67" s="208" t="s">
        <v>37</v>
      </c>
      <c r="J67" s="208" t="s">
        <v>37</v>
      </c>
      <c r="K67" s="208" t="s">
        <v>37</v>
      </c>
      <c r="L67" s="208" t="s">
        <v>37</v>
      </c>
      <c r="M67" s="204">
        <v>2.1000000000000001E-2</v>
      </c>
    </row>
    <row r="69" spans="2:14" x14ac:dyDescent="0.25">
      <c r="B69" s="528" t="s">
        <v>49</v>
      </c>
      <c r="C69" s="528"/>
      <c r="D69" s="528"/>
      <c r="E69" s="528"/>
      <c r="F69" s="528"/>
      <c r="G69" s="528"/>
      <c r="H69" s="528"/>
      <c r="I69" s="528"/>
      <c r="J69" s="528"/>
      <c r="K69" s="528"/>
      <c r="L69" s="528"/>
      <c r="M69" s="528"/>
    </row>
    <row r="70" spans="2:14" x14ac:dyDescent="0.25">
      <c r="B70" s="529" t="s">
        <v>346</v>
      </c>
      <c r="C70" s="531" t="s">
        <v>33</v>
      </c>
      <c r="D70" s="531"/>
      <c r="E70" s="531" t="s">
        <v>337</v>
      </c>
      <c r="F70" s="531" t="s">
        <v>84</v>
      </c>
      <c r="G70" s="531" t="s">
        <v>338</v>
      </c>
      <c r="H70" s="531" t="s">
        <v>339</v>
      </c>
      <c r="I70" s="531" t="s">
        <v>340</v>
      </c>
      <c r="J70" s="531" t="s">
        <v>341</v>
      </c>
      <c r="K70" s="531" t="s">
        <v>342</v>
      </c>
      <c r="L70" s="531" t="s">
        <v>343</v>
      </c>
      <c r="M70" s="531" t="s">
        <v>344</v>
      </c>
    </row>
    <row r="71" spans="2:14" x14ac:dyDescent="0.25">
      <c r="B71" s="530"/>
      <c r="C71" s="174" t="s">
        <v>298</v>
      </c>
      <c r="D71" s="174" t="s">
        <v>297</v>
      </c>
      <c r="E71" s="531"/>
      <c r="F71" s="531"/>
      <c r="G71" s="531"/>
      <c r="H71" s="531"/>
      <c r="I71" s="531"/>
      <c r="J71" s="531"/>
      <c r="K71" s="531"/>
      <c r="L71" s="531"/>
      <c r="M71" s="531"/>
    </row>
    <row r="72" spans="2:14" x14ac:dyDescent="0.25">
      <c r="B72" s="175" t="s">
        <v>27</v>
      </c>
      <c r="C72" s="527">
        <v>0.2</v>
      </c>
      <c r="D72" s="527">
        <v>0.2</v>
      </c>
      <c r="E72" s="192">
        <v>3.2</v>
      </c>
      <c r="F72" s="218">
        <v>0.1</v>
      </c>
      <c r="G72" s="193">
        <v>2.9</v>
      </c>
      <c r="H72" s="193">
        <v>0.6</v>
      </c>
      <c r="I72" s="217" t="s">
        <v>37</v>
      </c>
      <c r="J72" s="217" t="s">
        <v>37</v>
      </c>
      <c r="K72" s="217" t="s">
        <v>37</v>
      </c>
      <c r="L72" s="217" t="s">
        <v>37</v>
      </c>
      <c r="M72" s="193">
        <v>2.9</v>
      </c>
      <c r="N72" s="51">
        <f>MAX(E72:M78)</f>
        <v>3.3</v>
      </c>
    </row>
    <row r="73" spans="2:14" x14ac:dyDescent="0.25">
      <c r="B73" s="175" t="s">
        <v>28</v>
      </c>
      <c r="C73" s="527"/>
      <c r="D73" s="527"/>
      <c r="E73" s="200">
        <v>3.3</v>
      </c>
      <c r="F73" s="195">
        <v>0.2</v>
      </c>
      <c r="G73" s="195">
        <v>2</v>
      </c>
      <c r="H73" s="195">
        <v>0.5</v>
      </c>
      <c r="I73" s="217" t="s">
        <v>37</v>
      </c>
      <c r="J73" s="217" t="s">
        <v>37</v>
      </c>
      <c r="K73" s="217" t="s">
        <v>37</v>
      </c>
      <c r="L73" s="217" t="s">
        <v>37</v>
      </c>
      <c r="M73" s="195">
        <v>1.1000000000000001</v>
      </c>
      <c r="N73" s="51">
        <f>MIN(E72:M78)</f>
        <v>0.1</v>
      </c>
    </row>
    <row r="74" spans="2:14" x14ac:dyDescent="0.25">
      <c r="B74" s="175" t="s">
        <v>29</v>
      </c>
      <c r="C74" s="527"/>
      <c r="D74" s="527"/>
      <c r="E74" s="194">
        <v>2.5</v>
      </c>
      <c r="F74" s="195">
        <v>0.3</v>
      </c>
      <c r="G74" s="195">
        <v>2.2999999999999998</v>
      </c>
      <c r="H74" s="195">
        <v>0.5</v>
      </c>
      <c r="I74" s="217" t="s">
        <v>37</v>
      </c>
      <c r="J74" s="217" t="s">
        <v>37</v>
      </c>
      <c r="K74" s="217" t="s">
        <v>37</v>
      </c>
      <c r="L74" s="217" t="s">
        <v>37</v>
      </c>
      <c r="M74" s="195">
        <v>0.2</v>
      </c>
    </row>
    <row r="75" spans="2:14" x14ac:dyDescent="0.25">
      <c r="B75" s="175" t="s">
        <v>30</v>
      </c>
      <c r="C75" s="527"/>
      <c r="D75" s="527"/>
      <c r="E75" s="194">
        <v>1.5</v>
      </c>
      <c r="F75" s="195">
        <v>0.4</v>
      </c>
      <c r="G75" s="196">
        <v>2.5</v>
      </c>
      <c r="H75" s="199">
        <v>0.1</v>
      </c>
      <c r="I75" s="217" t="s">
        <v>37</v>
      </c>
      <c r="J75" s="217" t="s">
        <v>37</v>
      </c>
      <c r="K75" s="217" t="s">
        <v>37</v>
      </c>
      <c r="L75" s="217" t="s">
        <v>37</v>
      </c>
      <c r="M75" s="195">
        <v>0.4</v>
      </c>
    </row>
    <row r="76" spans="2:14" x14ac:dyDescent="0.25">
      <c r="B76" s="175" t="s">
        <v>31</v>
      </c>
      <c r="C76" s="527"/>
      <c r="D76" s="527"/>
      <c r="E76" s="194">
        <v>2</v>
      </c>
      <c r="F76" s="197">
        <v>0.2</v>
      </c>
      <c r="G76" s="195">
        <v>2.8</v>
      </c>
      <c r="H76" s="219">
        <v>0.1</v>
      </c>
      <c r="I76" s="217" t="s">
        <v>37</v>
      </c>
      <c r="J76" s="217" t="s">
        <v>37</v>
      </c>
      <c r="K76" s="217" t="s">
        <v>37</v>
      </c>
      <c r="L76" s="217" t="s">
        <v>37</v>
      </c>
      <c r="M76" s="195">
        <v>1.2</v>
      </c>
    </row>
    <row r="77" spans="2:14" x14ac:dyDescent="0.25">
      <c r="B77" s="175" t="s">
        <v>25</v>
      </c>
      <c r="C77" s="527"/>
      <c r="D77" s="527"/>
      <c r="E77" s="194">
        <v>2.2000000000000002</v>
      </c>
      <c r="F77" s="195">
        <v>0.8</v>
      </c>
      <c r="G77" s="195">
        <v>2.2000000000000002</v>
      </c>
      <c r="H77" s="195">
        <v>0.3</v>
      </c>
      <c r="I77" s="217" t="s">
        <v>37</v>
      </c>
      <c r="J77" s="217" t="s">
        <v>37</v>
      </c>
      <c r="K77" s="217" t="s">
        <v>37</v>
      </c>
      <c r="L77" s="217" t="s">
        <v>37</v>
      </c>
      <c r="M77" s="195">
        <v>0.4</v>
      </c>
    </row>
    <row r="78" spans="2:14" x14ac:dyDescent="0.25">
      <c r="B78" s="175" t="s">
        <v>32</v>
      </c>
      <c r="C78" s="527"/>
      <c r="D78" s="527"/>
      <c r="E78" s="194">
        <v>2</v>
      </c>
      <c r="F78" s="195">
        <v>0.8</v>
      </c>
      <c r="G78" s="195">
        <v>2.7</v>
      </c>
      <c r="H78" s="195">
        <v>1.2</v>
      </c>
      <c r="I78" s="217" t="s">
        <v>37</v>
      </c>
      <c r="J78" s="217" t="s">
        <v>37</v>
      </c>
      <c r="K78" s="217" t="s">
        <v>37</v>
      </c>
      <c r="L78" s="217" t="s">
        <v>37</v>
      </c>
      <c r="M78" s="195">
        <v>0.8</v>
      </c>
    </row>
    <row r="80" spans="2:14" x14ac:dyDescent="0.25">
      <c r="B80" s="528" t="s">
        <v>50</v>
      </c>
      <c r="C80" s="528"/>
      <c r="D80" s="528"/>
      <c r="E80" s="528"/>
      <c r="F80" s="528"/>
      <c r="G80" s="528"/>
      <c r="H80" s="528"/>
      <c r="I80" s="528"/>
      <c r="J80" s="528"/>
      <c r="K80" s="528"/>
      <c r="L80" s="528"/>
      <c r="M80" s="528"/>
    </row>
    <row r="81" spans="2:14" x14ac:dyDescent="0.25">
      <c r="B81" s="529" t="s">
        <v>346</v>
      </c>
      <c r="C81" s="531" t="s">
        <v>33</v>
      </c>
      <c r="D81" s="531"/>
      <c r="E81" s="531" t="s">
        <v>337</v>
      </c>
      <c r="F81" s="531" t="s">
        <v>84</v>
      </c>
      <c r="G81" s="531" t="s">
        <v>338</v>
      </c>
      <c r="H81" s="531" t="s">
        <v>339</v>
      </c>
      <c r="I81" s="531" t="s">
        <v>340</v>
      </c>
      <c r="J81" s="531" t="s">
        <v>341</v>
      </c>
      <c r="K81" s="531" t="s">
        <v>342</v>
      </c>
      <c r="L81" s="531" t="s">
        <v>343</v>
      </c>
      <c r="M81" s="531" t="s">
        <v>344</v>
      </c>
    </row>
    <row r="82" spans="2:14" x14ac:dyDescent="0.25">
      <c r="B82" s="530"/>
      <c r="C82" s="174" t="s">
        <v>298</v>
      </c>
      <c r="D82" s="174" t="s">
        <v>297</v>
      </c>
      <c r="E82" s="531"/>
      <c r="F82" s="531"/>
      <c r="G82" s="531"/>
      <c r="H82" s="531"/>
      <c r="I82" s="531"/>
      <c r="J82" s="531"/>
      <c r="K82" s="531"/>
      <c r="L82" s="531"/>
      <c r="M82" s="531"/>
    </row>
    <row r="83" spans="2:14" x14ac:dyDescent="0.25">
      <c r="B83" s="175" t="s">
        <v>27</v>
      </c>
      <c r="C83" s="527">
        <v>0.5</v>
      </c>
      <c r="D83" s="527" t="s">
        <v>350</v>
      </c>
      <c r="E83" s="212">
        <v>0.52200000000000002</v>
      </c>
      <c r="F83" s="213">
        <v>0.10199999999999999</v>
      </c>
      <c r="G83" s="213">
        <v>3.7999999999999999E-2</v>
      </c>
      <c r="H83" s="213">
        <v>9.5000000000000001E-2</v>
      </c>
      <c r="I83" s="217" t="s">
        <v>37</v>
      </c>
      <c r="J83" s="217" t="s">
        <v>37</v>
      </c>
      <c r="K83" s="217" t="s">
        <v>37</v>
      </c>
      <c r="L83" s="217" t="s">
        <v>37</v>
      </c>
      <c r="M83" s="213">
        <v>0.161</v>
      </c>
      <c r="N83" s="51">
        <f>MAX(E83:M89)</f>
        <v>1.857</v>
      </c>
    </row>
    <row r="84" spans="2:14" x14ac:dyDescent="0.25">
      <c r="B84" s="175" t="s">
        <v>28</v>
      </c>
      <c r="C84" s="527"/>
      <c r="D84" s="527"/>
      <c r="E84" s="214">
        <v>0.72799999999999998</v>
      </c>
      <c r="F84" s="210">
        <v>0.09</v>
      </c>
      <c r="G84" s="210">
        <v>4.5999999999999999E-2</v>
      </c>
      <c r="H84" s="210">
        <v>0.06</v>
      </c>
      <c r="I84" s="217" t="s">
        <v>37</v>
      </c>
      <c r="J84" s="217" t="s">
        <v>37</v>
      </c>
      <c r="K84" s="217" t="s">
        <v>37</v>
      </c>
      <c r="L84" s="217" t="s">
        <v>37</v>
      </c>
      <c r="M84" s="210">
        <v>0.23699999999999999</v>
      </c>
      <c r="N84" s="51">
        <f>MIN(E83:M89)</f>
        <v>3.6999999999999998E-2</v>
      </c>
    </row>
    <row r="85" spans="2:14" x14ac:dyDescent="0.25">
      <c r="B85" s="175" t="s">
        <v>29</v>
      </c>
      <c r="C85" s="527"/>
      <c r="D85" s="527"/>
      <c r="E85" s="214">
        <v>0.44900000000000001</v>
      </c>
      <c r="F85" s="210">
        <v>0.11</v>
      </c>
      <c r="G85" s="210">
        <v>4.3999999999999997E-2</v>
      </c>
      <c r="H85" s="210">
        <v>0.251</v>
      </c>
      <c r="I85" s="217" t="s">
        <v>37</v>
      </c>
      <c r="J85" s="217" t="s">
        <v>37</v>
      </c>
      <c r="K85" s="217" t="s">
        <v>37</v>
      </c>
      <c r="L85" s="217" t="s">
        <v>37</v>
      </c>
      <c r="M85" s="210">
        <v>0.628</v>
      </c>
    </row>
    <row r="86" spans="2:14" x14ac:dyDescent="0.25">
      <c r="B86" s="175" t="s">
        <v>30</v>
      </c>
      <c r="C86" s="527"/>
      <c r="D86" s="527"/>
      <c r="E86" s="214">
        <v>0.45300000000000001</v>
      </c>
      <c r="F86" s="210">
        <v>0.108</v>
      </c>
      <c r="G86" s="215">
        <v>4.2999999999999997E-2</v>
      </c>
      <c r="H86" s="210">
        <v>0.04</v>
      </c>
      <c r="I86" s="217" t="s">
        <v>37</v>
      </c>
      <c r="J86" s="217" t="s">
        <v>37</v>
      </c>
      <c r="K86" s="217" t="s">
        <v>37</v>
      </c>
      <c r="L86" s="217" t="s">
        <v>37</v>
      </c>
      <c r="M86" s="210">
        <v>0.13800000000000001</v>
      </c>
    </row>
    <row r="87" spans="2:14" x14ac:dyDescent="0.25">
      <c r="B87" s="175" t="s">
        <v>31</v>
      </c>
      <c r="C87" s="527"/>
      <c r="D87" s="527"/>
      <c r="E87" s="214">
        <v>1.0189999999999999</v>
      </c>
      <c r="F87" s="216">
        <v>0.17399999999999999</v>
      </c>
      <c r="G87" s="210">
        <v>5.0999999999999997E-2</v>
      </c>
      <c r="H87" s="222">
        <v>3.6999999999999998E-2</v>
      </c>
      <c r="I87" s="217" t="s">
        <v>37</v>
      </c>
      <c r="J87" s="217" t="s">
        <v>37</v>
      </c>
      <c r="K87" s="217" t="s">
        <v>37</v>
      </c>
      <c r="L87" s="217" t="s">
        <v>37</v>
      </c>
      <c r="M87" s="210">
        <v>0.10100000000000001</v>
      </c>
    </row>
    <row r="88" spans="2:14" x14ac:dyDescent="0.25">
      <c r="B88" s="175" t="s">
        <v>25</v>
      </c>
      <c r="C88" s="527"/>
      <c r="D88" s="527"/>
      <c r="E88" s="214">
        <v>1.4</v>
      </c>
      <c r="F88" s="210">
        <v>1.5760000000000001</v>
      </c>
      <c r="G88" s="210">
        <v>0.40600000000000003</v>
      </c>
      <c r="H88" s="210">
        <v>0.38700000000000001</v>
      </c>
      <c r="I88" s="217" t="s">
        <v>37</v>
      </c>
      <c r="J88" s="217" t="s">
        <v>37</v>
      </c>
      <c r="K88" s="217" t="s">
        <v>37</v>
      </c>
      <c r="L88" s="217" t="s">
        <v>37</v>
      </c>
      <c r="M88" s="210">
        <v>0.26</v>
      </c>
    </row>
    <row r="89" spans="2:14" x14ac:dyDescent="0.25">
      <c r="B89" s="175" t="s">
        <v>32</v>
      </c>
      <c r="C89" s="527"/>
      <c r="D89" s="527"/>
      <c r="E89" s="214">
        <v>1.4</v>
      </c>
      <c r="F89" s="221">
        <v>1.857</v>
      </c>
      <c r="G89" s="210">
        <v>0.59</v>
      </c>
      <c r="H89" s="210">
        <v>0.34300000000000003</v>
      </c>
      <c r="I89" s="217" t="s">
        <v>37</v>
      </c>
      <c r="J89" s="217" t="s">
        <v>37</v>
      </c>
      <c r="K89" s="217" t="s">
        <v>37</v>
      </c>
      <c r="L89" s="217" t="s">
        <v>37</v>
      </c>
      <c r="M89" s="210">
        <v>0.48</v>
      </c>
    </row>
    <row r="91" spans="2:14" x14ac:dyDescent="0.25">
      <c r="B91" s="528" t="s">
        <v>334</v>
      </c>
      <c r="C91" s="528"/>
      <c r="D91" s="528"/>
      <c r="E91" s="528"/>
      <c r="F91" s="528"/>
      <c r="G91" s="528"/>
      <c r="H91" s="528"/>
      <c r="I91" s="528"/>
      <c r="J91" s="528"/>
      <c r="K91" s="528"/>
      <c r="L91" s="528"/>
      <c r="M91" s="528"/>
    </row>
    <row r="92" spans="2:14" x14ac:dyDescent="0.25">
      <c r="B92" s="529" t="s">
        <v>346</v>
      </c>
      <c r="C92" s="531" t="s">
        <v>33</v>
      </c>
      <c r="D92" s="531"/>
      <c r="E92" s="531" t="s">
        <v>337</v>
      </c>
      <c r="F92" s="531" t="s">
        <v>84</v>
      </c>
      <c r="G92" s="531" t="s">
        <v>338</v>
      </c>
      <c r="H92" s="531" t="s">
        <v>339</v>
      </c>
      <c r="I92" s="531" t="s">
        <v>340</v>
      </c>
      <c r="J92" s="531" t="s">
        <v>341</v>
      </c>
      <c r="K92" s="531" t="s">
        <v>342</v>
      </c>
      <c r="L92" s="531" t="s">
        <v>343</v>
      </c>
      <c r="M92" s="531" t="s">
        <v>344</v>
      </c>
    </row>
    <row r="93" spans="2:14" x14ac:dyDescent="0.25">
      <c r="B93" s="530"/>
      <c r="C93" s="174" t="s">
        <v>298</v>
      </c>
      <c r="D93" s="174" t="s">
        <v>297</v>
      </c>
      <c r="E93" s="531"/>
      <c r="F93" s="531"/>
      <c r="G93" s="531"/>
      <c r="H93" s="531"/>
      <c r="I93" s="531"/>
      <c r="J93" s="531"/>
      <c r="K93" s="531"/>
      <c r="L93" s="531"/>
      <c r="M93" s="531"/>
    </row>
    <row r="94" spans="2:14" x14ac:dyDescent="0.25">
      <c r="B94" s="175" t="s">
        <v>27</v>
      </c>
      <c r="C94" s="527">
        <v>2</v>
      </c>
      <c r="D94" s="527">
        <v>24</v>
      </c>
      <c r="E94" s="212">
        <v>0.13</v>
      </c>
      <c r="F94" s="217" t="s">
        <v>37</v>
      </c>
      <c r="G94" s="217" t="s">
        <v>37</v>
      </c>
      <c r="H94" s="217" t="s">
        <v>37</v>
      </c>
      <c r="I94" s="217" t="s">
        <v>37</v>
      </c>
      <c r="J94" s="217" t="s">
        <v>37</v>
      </c>
      <c r="K94" s="217" t="s">
        <v>37</v>
      </c>
      <c r="L94" s="217" t="s">
        <v>37</v>
      </c>
      <c r="M94" s="213">
        <v>0.12</v>
      </c>
      <c r="N94" s="51">
        <f>MAX(E94:M100)</f>
        <v>0.37</v>
      </c>
    </row>
    <row r="95" spans="2:14" x14ac:dyDescent="0.25">
      <c r="B95" s="175" t="s">
        <v>28</v>
      </c>
      <c r="C95" s="527"/>
      <c r="D95" s="527"/>
      <c r="E95" s="223">
        <v>0.37</v>
      </c>
      <c r="F95" s="217" t="s">
        <v>37</v>
      </c>
      <c r="G95" s="217" t="s">
        <v>37</v>
      </c>
      <c r="H95" s="217" t="s">
        <v>37</v>
      </c>
      <c r="I95" s="217" t="s">
        <v>37</v>
      </c>
      <c r="J95" s="217" t="s">
        <v>37</v>
      </c>
      <c r="K95" s="217" t="s">
        <v>37</v>
      </c>
      <c r="L95" s="217" t="s">
        <v>37</v>
      </c>
      <c r="M95" s="210">
        <v>0.11</v>
      </c>
      <c r="N95" s="51">
        <f>MIN(E94:M100)</f>
        <v>0.09</v>
      </c>
    </row>
    <row r="96" spans="2:14" x14ac:dyDescent="0.25">
      <c r="B96" s="175" t="s">
        <v>29</v>
      </c>
      <c r="C96" s="527"/>
      <c r="D96" s="527"/>
      <c r="E96" s="214">
        <v>0.12</v>
      </c>
      <c r="F96" s="217" t="s">
        <v>37</v>
      </c>
      <c r="G96" s="217" t="s">
        <v>37</v>
      </c>
      <c r="H96" s="217" t="s">
        <v>37</v>
      </c>
      <c r="I96" s="217" t="s">
        <v>37</v>
      </c>
      <c r="J96" s="217" t="s">
        <v>37</v>
      </c>
      <c r="K96" s="217" t="s">
        <v>37</v>
      </c>
      <c r="L96" s="217" t="s">
        <v>37</v>
      </c>
      <c r="M96" s="211">
        <v>0.09</v>
      </c>
    </row>
    <row r="97" spans="2:14" x14ac:dyDescent="0.25">
      <c r="B97" s="175" t="s">
        <v>30</v>
      </c>
      <c r="C97" s="527"/>
      <c r="D97" s="527"/>
      <c r="E97" s="214">
        <v>0.1</v>
      </c>
      <c r="F97" s="217" t="s">
        <v>37</v>
      </c>
      <c r="G97" s="217" t="s">
        <v>37</v>
      </c>
      <c r="H97" s="217" t="s">
        <v>37</v>
      </c>
      <c r="I97" s="217" t="s">
        <v>37</v>
      </c>
      <c r="J97" s="217" t="s">
        <v>37</v>
      </c>
      <c r="K97" s="217" t="s">
        <v>37</v>
      </c>
      <c r="L97" s="217" t="s">
        <v>37</v>
      </c>
      <c r="M97" s="210">
        <v>0.1</v>
      </c>
    </row>
    <row r="98" spans="2:14" x14ac:dyDescent="0.25">
      <c r="B98" s="175" t="s">
        <v>31</v>
      </c>
      <c r="C98" s="527"/>
      <c r="D98" s="527"/>
      <c r="E98" s="214">
        <v>0.13</v>
      </c>
      <c r="F98" s="217" t="s">
        <v>37</v>
      </c>
      <c r="G98" s="217" t="s">
        <v>37</v>
      </c>
      <c r="H98" s="217" t="s">
        <v>37</v>
      </c>
      <c r="I98" s="217" t="s">
        <v>37</v>
      </c>
      <c r="J98" s="217" t="s">
        <v>37</v>
      </c>
      <c r="K98" s="217" t="s">
        <v>37</v>
      </c>
      <c r="L98" s="217" t="s">
        <v>37</v>
      </c>
      <c r="M98" s="210">
        <v>0.16</v>
      </c>
    </row>
    <row r="99" spans="2:14" x14ac:dyDescent="0.25">
      <c r="B99" s="175" t="s">
        <v>25</v>
      </c>
      <c r="C99" s="527"/>
      <c r="D99" s="527"/>
      <c r="E99" s="214">
        <v>0.26</v>
      </c>
      <c r="F99" s="217" t="s">
        <v>37</v>
      </c>
      <c r="G99" s="217" t="s">
        <v>37</v>
      </c>
      <c r="H99" s="217" t="s">
        <v>37</v>
      </c>
      <c r="I99" s="217" t="s">
        <v>37</v>
      </c>
      <c r="J99" s="217" t="s">
        <v>37</v>
      </c>
      <c r="K99" s="217" t="s">
        <v>37</v>
      </c>
      <c r="L99" s="217" t="s">
        <v>37</v>
      </c>
      <c r="M99" s="210">
        <v>0.12</v>
      </c>
    </row>
    <row r="100" spans="2:14" x14ac:dyDescent="0.25">
      <c r="B100" s="175" t="s">
        <v>32</v>
      </c>
      <c r="C100" s="527"/>
      <c r="D100" s="527"/>
      <c r="E100" s="214">
        <v>0.27</v>
      </c>
      <c r="F100" s="217" t="s">
        <v>37</v>
      </c>
      <c r="G100" s="217" t="s">
        <v>37</v>
      </c>
      <c r="H100" s="217" t="s">
        <v>37</v>
      </c>
      <c r="I100" s="217" t="s">
        <v>37</v>
      </c>
      <c r="J100" s="217" t="s">
        <v>37</v>
      </c>
      <c r="K100" s="217" t="s">
        <v>37</v>
      </c>
      <c r="L100" s="217" t="s">
        <v>37</v>
      </c>
      <c r="M100" s="210">
        <v>0.13</v>
      </c>
    </row>
    <row r="102" spans="2:14" x14ac:dyDescent="0.25">
      <c r="B102" s="528" t="s">
        <v>92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8"/>
    </row>
    <row r="103" spans="2:14" x14ac:dyDescent="0.25">
      <c r="B103" s="529" t="s">
        <v>346</v>
      </c>
      <c r="C103" s="531" t="s">
        <v>33</v>
      </c>
      <c r="D103" s="531"/>
      <c r="E103" s="531" t="s">
        <v>337</v>
      </c>
      <c r="F103" s="531" t="s">
        <v>84</v>
      </c>
      <c r="G103" s="531" t="s">
        <v>338</v>
      </c>
      <c r="H103" s="531" t="s">
        <v>339</v>
      </c>
      <c r="I103" s="531" t="s">
        <v>340</v>
      </c>
      <c r="J103" s="531" t="s">
        <v>341</v>
      </c>
      <c r="K103" s="531" t="s">
        <v>342</v>
      </c>
      <c r="L103" s="531" t="s">
        <v>343</v>
      </c>
      <c r="M103" s="531" t="s">
        <v>344</v>
      </c>
    </row>
    <row r="104" spans="2:14" x14ac:dyDescent="0.25">
      <c r="B104" s="530"/>
      <c r="C104" s="174" t="s">
        <v>298</v>
      </c>
      <c r="D104" s="174" t="s">
        <v>297</v>
      </c>
      <c r="E104" s="531"/>
      <c r="F104" s="531"/>
      <c r="G104" s="531"/>
      <c r="H104" s="531"/>
      <c r="I104" s="531"/>
      <c r="J104" s="531"/>
      <c r="K104" s="531"/>
      <c r="L104" s="531"/>
      <c r="M104" s="531"/>
    </row>
    <row r="105" spans="2:14" x14ac:dyDescent="0.25">
      <c r="B105" s="175" t="s">
        <v>27</v>
      </c>
      <c r="C105" s="527" t="s">
        <v>350</v>
      </c>
      <c r="D105" s="527" t="s">
        <v>350</v>
      </c>
      <c r="E105" s="217" t="s">
        <v>37</v>
      </c>
      <c r="F105" s="193">
        <v>11</v>
      </c>
      <c r="G105" s="193">
        <v>11</v>
      </c>
      <c r="H105" s="193">
        <v>15</v>
      </c>
      <c r="I105" s="217">
        <v>19</v>
      </c>
      <c r="J105" s="217">
        <v>23</v>
      </c>
      <c r="K105" s="217">
        <v>43</v>
      </c>
      <c r="L105" s="217">
        <v>93</v>
      </c>
      <c r="M105" s="224">
        <v>150</v>
      </c>
      <c r="N105" s="51">
        <f>MAX(F105:M111)</f>
        <v>150</v>
      </c>
    </row>
    <row r="106" spans="2:14" x14ac:dyDescent="0.25">
      <c r="B106" s="175" t="s">
        <v>28</v>
      </c>
      <c r="C106" s="527"/>
      <c r="D106" s="527"/>
      <c r="E106" s="217" t="s">
        <v>37</v>
      </c>
      <c r="F106" s="195">
        <v>7.2</v>
      </c>
      <c r="G106" s="195">
        <v>11</v>
      </c>
      <c r="H106" s="195">
        <v>11</v>
      </c>
      <c r="I106" s="217">
        <v>16</v>
      </c>
      <c r="J106" s="217">
        <v>15</v>
      </c>
      <c r="K106" s="217">
        <v>23</v>
      </c>
      <c r="L106" s="217">
        <v>43</v>
      </c>
      <c r="M106" s="195">
        <v>75</v>
      </c>
      <c r="N106" s="51">
        <f>MIN(F105:M111)</f>
        <v>3.6</v>
      </c>
    </row>
    <row r="107" spans="2:14" x14ac:dyDescent="0.25">
      <c r="B107" s="175" t="s">
        <v>29</v>
      </c>
      <c r="C107" s="527"/>
      <c r="D107" s="527"/>
      <c r="E107" s="217" t="s">
        <v>37</v>
      </c>
      <c r="F107" s="195">
        <v>15</v>
      </c>
      <c r="G107" s="195">
        <v>11</v>
      </c>
      <c r="H107" s="195">
        <v>7.3</v>
      </c>
      <c r="I107" s="217">
        <v>9.1999999999999993</v>
      </c>
      <c r="J107" s="217">
        <v>11</v>
      </c>
      <c r="K107" s="217">
        <v>21</v>
      </c>
      <c r="L107" s="217">
        <v>35</v>
      </c>
      <c r="M107" s="195">
        <v>75</v>
      </c>
    </row>
    <row r="108" spans="2:14" x14ac:dyDescent="0.25">
      <c r="B108" s="175" t="s">
        <v>30</v>
      </c>
      <c r="C108" s="527"/>
      <c r="D108" s="527"/>
      <c r="E108" s="217" t="s">
        <v>37</v>
      </c>
      <c r="F108" s="195">
        <v>7.3</v>
      </c>
      <c r="G108" s="196">
        <v>11</v>
      </c>
      <c r="H108" s="195">
        <v>16</v>
      </c>
      <c r="I108" s="217">
        <v>13</v>
      </c>
      <c r="J108" s="217">
        <v>15</v>
      </c>
      <c r="K108" s="217">
        <v>21</v>
      </c>
      <c r="L108" s="217">
        <v>43</v>
      </c>
      <c r="M108" s="195">
        <v>43</v>
      </c>
    </row>
    <row r="109" spans="2:14" x14ac:dyDescent="0.25">
      <c r="B109" s="175" t="s">
        <v>31</v>
      </c>
      <c r="C109" s="527"/>
      <c r="D109" s="527"/>
      <c r="E109" s="217" t="s">
        <v>37</v>
      </c>
      <c r="F109" s="197">
        <v>9.3000000000000007</v>
      </c>
      <c r="G109" s="195">
        <v>11</v>
      </c>
      <c r="H109" s="194">
        <v>15</v>
      </c>
      <c r="I109" s="217">
        <v>12</v>
      </c>
      <c r="J109" s="217">
        <v>11</v>
      </c>
      <c r="K109" s="217">
        <v>24</v>
      </c>
      <c r="L109" s="217">
        <v>35</v>
      </c>
      <c r="M109" s="195">
        <v>43</v>
      </c>
    </row>
    <row r="110" spans="2:14" x14ac:dyDescent="0.25">
      <c r="B110" s="175" t="s">
        <v>25</v>
      </c>
      <c r="C110" s="527"/>
      <c r="D110" s="527"/>
      <c r="E110" s="217" t="s">
        <v>37</v>
      </c>
      <c r="F110" s="199">
        <v>3.6</v>
      </c>
      <c r="G110" s="195">
        <v>7.3</v>
      </c>
      <c r="H110" s="195">
        <v>7.2</v>
      </c>
      <c r="I110" s="217">
        <v>9.1999999999999993</v>
      </c>
      <c r="J110" s="217">
        <v>9</v>
      </c>
      <c r="K110" s="217">
        <v>9</v>
      </c>
      <c r="L110" s="217">
        <v>15</v>
      </c>
      <c r="M110" s="195">
        <v>35</v>
      </c>
    </row>
    <row r="111" spans="2:14" x14ac:dyDescent="0.25">
      <c r="B111" s="175" t="s">
        <v>32</v>
      </c>
      <c r="C111" s="527"/>
      <c r="D111" s="527"/>
      <c r="E111" s="217" t="s">
        <v>37</v>
      </c>
      <c r="F111" s="195">
        <v>9.1999999999999993</v>
      </c>
      <c r="G111" s="195">
        <v>3.6</v>
      </c>
      <c r="H111" s="195">
        <v>7.2</v>
      </c>
      <c r="I111" s="217">
        <v>7.3</v>
      </c>
      <c r="J111" s="217">
        <v>6</v>
      </c>
      <c r="K111" s="217">
        <v>6</v>
      </c>
      <c r="L111" s="217">
        <v>15</v>
      </c>
      <c r="M111" s="195">
        <v>15</v>
      </c>
    </row>
    <row r="113" spans="2:14" x14ac:dyDescent="0.25">
      <c r="B113" s="528" t="s">
        <v>330</v>
      </c>
      <c r="C113" s="528"/>
      <c r="D113" s="528"/>
      <c r="E113" s="528"/>
      <c r="F113" s="528"/>
      <c r="G113" s="528"/>
      <c r="H113" s="528"/>
      <c r="I113" s="528"/>
      <c r="J113" s="528"/>
      <c r="K113" s="528"/>
      <c r="L113" s="528"/>
      <c r="M113" s="528"/>
    </row>
    <row r="114" spans="2:14" x14ac:dyDescent="0.25">
      <c r="B114" s="529" t="s">
        <v>346</v>
      </c>
      <c r="C114" s="531" t="s">
        <v>33</v>
      </c>
      <c r="D114" s="531"/>
      <c r="E114" s="531" t="s">
        <v>337</v>
      </c>
      <c r="F114" s="531" t="s">
        <v>84</v>
      </c>
      <c r="G114" s="531" t="s">
        <v>338</v>
      </c>
      <c r="H114" s="531" t="s">
        <v>339</v>
      </c>
      <c r="I114" s="531" t="s">
        <v>340</v>
      </c>
      <c r="J114" s="531" t="s">
        <v>341</v>
      </c>
      <c r="K114" s="531" t="s">
        <v>342</v>
      </c>
      <c r="L114" s="531" t="s">
        <v>343</v>
      </c>
      <c r="M114" s="531" t="s">
        <v>344</v>
      </c>
    </row>
    <row r="115" spans="2:14" x14ac:dyDescent="0.25">
      <c r="B115" s="530"/>
      <c r="C115" s="174" t="s">
        <v>298</v>
      </c>
      <c r="D115" s="174" t="s">
        <v>297</v>
      </c>
      <c r="E115" s="531"/>
      <c r="F115" s="531"/>
      <c r="G115" s="531"/>
      <c r="H115" s="531"/>
      <c r="I115" s="531"/>
      <c r="J115" s="531"/>
      <c r="K115" s="531"/>
      <c r="L115" s="531"/>
      <c r="M115" s="531"/>
    </row>
    <row r="116" spans="2:14" x14ac:dyDescent="0.25">
      <c r="B116" s="175" t="s">
        <v>27</v>
      </c>
      <c r="C116" s="527">
        <v>1000</v>
      </c>
      <c r="D116" s="527">
        <v>1000</v>
      </c>
      <c r="E116" s="217" t="s">
        <v>37</v>
      </c>
      <c r="F116" s="193">
        <v>3.6</v>
      </c>
      <c r="G116" s="193">
        <v>3</v>
      </c>
      <c r="H116" s="193">
        <v>7.3</v>
      </c>
      <c r="I116" s="217">
        <v>9.3000000000000007</v>
      </c>
      <c r="J116" s="217">
        <v>9.1</v>
      </c>
      <c r="K116" s="217">
        <v>23</v>
      </c>
      <c r="L116" s="217">
        <v>43</v>
      </c>
      <c r="M116" s="225">
        <v>75</v>
      </c>
      <c r="N116" s="51">
        <f>MAX(F116:M122)</f>
        <v>75</v>
      </c>
    </row>
    <row r="117" spans="2:14" x14ac:dyDescent="0.25">
      <c r="B117" s="175" t="s">
        <v>28</v>
      </c>
      <c r="C117" s="527"/>
      <c r="D117" s="527"/>
      <c r="E117" s="217" t="s">
        <v>37</v>
      </c>
      <c r="F117" s="195">
        <v>3.6</v>
      </c>
      <c r="G117" s="195">
        <v>7.2</v>
      </c>
      <c r="H117" s="195">
        <v>7.3</v>
      </c>
      <c r="I117" s="217">
        <v>11</v>
      </c>
      <c r="J117" s="217">
        <v>7.2</v>
      </c>
      <c r="K117" s="217">
        <v>9.1</v>
      </c>
      <c r="L117" s="217">
        <v>23</v>
      </c>
      <c r="M117" s="195">
        <v>43</v>
      </c>
      <c r="N117" s="51">
        <f>MIN(F116:M122)</f>
        <v>3</v>
      </c>
    </row>
    <row r="118" spans="2:14" x14ac:dyDescent="0.25">
      <c r="B118" s="175" t="s">
        <v>29</v>
      </c>
      <c r="C118" s="527"/>
      <c r="D118" s="527"/>
      <c r="E118" s="217" t="s">
        <v>37</v>
      </c>
      <c r="F118" s="195">
        <v>3</v>
      </c>
      <c r="G118" s="195">
        <v>3</v>
      </c>
      <c r="H118" s="195">
        <v>3</v>
      </c>
      <c r="I118" s="217">
        <v>6.1</v>
      </c>
      <c r="J118" s="217">
        <v>7.2</v>
      </c>
      <c r="K118" s="217">
        <v>15</v>
      </c>
      <c r="L118" s="217">
        <v>28</v>
      </c>
      <c r="M118" s="195">
        <v>23</v>
      </c>
    </row>
    <row r="119" spans="2:14" x14ac:dyDescent="0.25">
      <c r="B119" s="175" t="s">
        <v>30</v>
      </c>
      <c r="C119" s="527"/>
      <c r="D119" s="527"/>
      <c r="E119" s="217" t="s">
        <v>37</v>
      </c>
      <c r="F119" s="195">
        <v>3.6</v>
      </c>
      <c r="G119" s="196">
        <v>11</v>
      </c>
      <c r="H119" s="195">
        <v>11</v>
      </c>
      <c r="I119" s="217">
        <v>6.1</v>
      </c>
      <c r="J119" s="217">
        <v>11</v>
      </c>
      <c r="K119" s="217">
        <v>15</v>
      </c>
      <c r="L119" s="217">
        <v>23</v>
      </c>
      <c r="M119" s="195">
        <v>23</v>
      </c>
    </row>
    <row r="120" spans="2:14" x14ac:dyDescent="0.25">
      <c r="B120" s="175" t="s">
        <v>31</v>
      </c>
      <c r="C120" s="527"/>
      <c r="D120" s="527"/>
      <c r="E120" s="217" t="s">
        <v>37</v>
      </c>
      <c r="F120" s="220">
        <v>3</v>
      </c>
      <c r="G120" s="195">
        <v>7.3</v>
      </c>
      <c r="H120" s="194">
        <v>7.3</v>
      </c>
      <c r="I120" s="217">
        <v>9.3000000000000007</v>
      </c>
      <c r="J120" s="217">
        <v>3.6</v>
      </c>
      <c r="K120" s="217">
        <v>15</v>
      </c>
      <c r="L120" s="217">
        <v>21</v>
      </c>
      <c r="M120" s="195">
        <v>15</v>
      </c>
    </row>
    <row r="121" spans="2:14" x14ac:dyDescent="0.25">
      <c r="B121" s="175" t="s">
        <v>25</v>
      </c>
      <c r="C121" s="527"/>
      <c r="D121" s="527"/>
      <c r="E121" s="217" t="s">
        <v>37</v>
      </c>
      <c r="F121" s="199">
        <v>3</v>
      </c>
      <c r="G121" s="195">
        <v>7.3</v>
      </c>
      <c r="H121" s="195">
        <v>3.6</v>
      </c>
      <c r="I121" s="217">
        <v>3</v>
      </c>
      <c r="J121" s="217">
        <v>3</v>
      </c>
      <c r="K121" s="217">
        <v>3</v>
      </c>
      <c r="L121" s="217">
        <v>15</v>
      </c>
      <c r="M121" s="195">
        <v>14</v>
      </c>
    </row>
    <row r="122" spans="2:14" x14ac:dyDescent="0.25">
      <c r="B122" s="175" t="s">
        <v>32</v>
      </c>
      <c r="C122" s="527"/>
      <c r="D122" s="527"/>
      <c r="E122" s="217" t="s">
        <v>37</v>
      </c>
      <c r="F122" s="199">
        <v>3</v>
      </c>
      <c r="G122" s="195">
        <v>3.6</v>
      </c>
      <c r="H122" s="195">
        <v>3.6</v>
      </c>
      <c r="I122" s="217">
        <v>3.6</v>
      </c>
      <c r="J122" s="217">
        <v>3</v>
      </c>
      <c r="K122" s="217">
        <v>3</v>
      </c>
      <c r="L122" s="217">
        <v>15</v>
      </c>
      <c r="M122" s="195">
        <v>9.1</v>
      </c>
    </row>
  </sheetData>
  <mergeCells count="154">
    <mergeCell ref="J103:J104"/>
    <mergeCell ref="K103:K104"/>
    <mergeCell ref="L103:L104"/>
    <mergeCell ref="M103:M104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E103:E104"/>
    <mergeCell ref="F103:F104"/>
    <mergeCell ref="G103:G104"/>
    <mergeCell ref="H103:H104"/>
    <mergeCell ref="I103:I104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J70:J71"/>
    <mergeCell ref="K70:K71"/>
    <mergeCell ref="L70:L71"/>
    <mergeCell ref="M70:M71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E70:E71"/>
    <mergeCell ref="F70:F71"/>
    <mergeCell ref="G70:G71"/>
    <mergeCell ref="H70:H71"/>
    <mergeCell ref="I70:I71"/>
    <mergeCell ref="M48:M49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3:M3"/>
    <mergeCell ref="B4:B5"/>
    <mergeCell ref="C4:D4"/>
    <mergeCell ref="E4:E5"/>
    <mergeCell ref="F4:F5"/>
    <mergeCell ref="G4:G5"/>
    <mergeCell ref="H4:H5"/>
    <mergeCell ref="I4:I5"/>
    <mergeCell ref="J4:J5"/>
    <mergeCell ref="K4:K5"/>
    <mergeCell ref="M15:M16"/>
    <mergeCell ref="L4:L5"/>
    <mergeCell ref="M4:M5"/>
    <mergeCell ref="C6:C12"/>
    <mergeCell ref="D6:D12"/>
    <mergeCell ref="B14:M14"/>
    <mergeCell ref="B15:B16"/>
    <mergeCell ref="C15:D15"/>
    <mergeCell ref="E15:E16"/>
    <mergeCell ref="F15:F16"/>
    <mergeCell ref="G15:G16"/>
    <mergeCell ref="H15:H16"/>
    <mergeCell ref="I15:I16"/>
    <mergeCell ref="J15:J16"/>
    <mergeCell ref="K15:K16"/>
    <mergeCell ref="L15:L16"/>
    <mergeCell ref="B47:M47"/>
    <mergeCell ref="C17:C23"/>
    <mergeCell ref="D17:D23"/>
    <mergeCell ref="B25:M25"/>
    <mergeCell ref="B26:B27"/>
    <mergeCell ref="C26:D26"/>
    <mergeCell ref="C28:C34"/>
    <mergeCell ref="D28:D34"/>
    <mergeCell ref="G26:G27"/>
    <mergeCell ref="H26:H27"/>
    <mergeCell ref="I26:I27"/>
    <mergeCell ref="B36:M36"/>
    <mergeCell ref="B37:B38"/>
    <mergeCell ref="C37:D37"/>
    <mergeCell ref="C39:C45"/>
    <mergeCell ref="D39:D45"/>
    <mergeCell ref="C59:D59"/>
    <mergeCell ref="E48:E49"/>
    <mergeCell ref="F48:F49"/>
    <mergeCell ref="G48:G49"/>
    <mergeCell ref="H48:H49"/>
    <mergeCell ref="I48:I49"/>
    <mergeCell ref="J48:J49"/>
    <mergeCell ref="K48:K49"/>
    <mergeCell ref="L48:L49"/>
    <mergeCell ref="C116:C122"/>
    <mergeCell ref="D116:D122"/>
    <mergeCell ref="E26:E27"/>
    <mergeCell ref="F26:F27"/>
    <mergeCell ref="B102:M102"/>
    <mergeCell ref="B103:B104"/>
    <mergeCell ref="C103:D103"/>
    <mergeCell ref="C105:C111"/>
    <mergeCell ref="D105:D111"/>
    <mergeCell ref="B113:M113"/>
    <mergeCell ref="B91:M91"/>
    <mergeCell ref="B92:B93"/>
    <mergeCell ref="C92:D92"/>
    <mergeCell ref="C94:C100"/>
    <mergeCell ref="D94:D100"/>
    <mergeCell ref="B80:M80"/>
    <mergeCell ref="J26:J27"/>
    <mergeCell ref="K26:K27"/>
    <mergeCell ref="L26:L27"/>
    <mergeCell ref="M26:M27"/>
    <mergeCell ref="B114:B115"/>
    <mergeCell ref="C114:D114"/>
    <mergeCell ref="B81:B82"/>
    <mergeCell ref="C81:D81"/>
    <mergeCell ref="C83:C89"/>
    <mergeCell ref="D83:D89"/>
    <mergeCell ref="C61:C67"/>
    <mergeCell ref="D61:D67"/>
    <mergeCell ref="B69:M69"/>
    <mergeCell ref="B70:B71"/>
    <mergeCell ref="C70:D70"/>
    <mergeCell ref="C72:C78"/>
    <mergeCell ref="M37:M38"/>
    <mergeCell ref="E37:E38"/>
    <mergeCell ref="F37:F38"/>
    <mergeCell ref="G37:G38"/>
    <mergeCell ref="H37:H38"/>
    <mergeCell ref="I37:I38"/>
    <mergeCell ref="J37:J38"/>
    <mergeCell ref="K37:K38"/>
    <mergeCell ref="L37:L38"/>
    <mergeCell ref="D72:D78"/>
    <mergeCell ref="B48:B49"/>
    <mergeCell ref="C48:D48"/>
    <mergeCell ref="C50:C56"/>
    <mergeCell ref="D50:D56"/>
    <mergeCell ref="B58:M58"/>
    <mergeCell ref="B59:B6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workbookViewId="0">
      <selection activeCell="C20" sqref="C20:C26"/>
    </sheetView>
  </sheetViews>
  <sheetFormatPr baseColWidth="10" defaultRowHeight="15" x14ac:dyDescent="0.25"/>
  <sheetData>
    <row r="2" spans="1:14" x14ac:dyDescent="0.25">
      <c r="C2">
        <v>11</v>
      </c>
      <c r="D2">
        <v>3</v>
      </c>
      <c r="G2">
        <v>15</v>
      </c>
      <c r="H2">
        <v>7.3</v>
      </c>
      <c r="J2">
        <v>19</v>
      </c>
      <c r="K2">
        <v>9.3000000000000007</v>
      </c>
      <c r="M2">
        <v>23</v>
      </c>
      <c r="N2">
        <v>9.1</v>
      </c>
    </row>
    <row r="3" spans="1:14" x14ac:dyDescent="0.25">
      <c r="C3">
        <v>11</v>
      </c>
      <c r="D3">
        <v>7.2</v>
      </c>
      <c r="G3">
        <v>11</v>
      </c>
      <c r="H3">
        <v>7.3</v>
      </c>
      <c r="J3">
        <v>16</v>
      </c>
      <c r="K3">
        <v>11</v>
      </c>
      <c r="M3">
        <v>15</v>
      </c>
      <c r="N3">
        <v>7.2</v>
      </c>
    </row>
    <row r="4" spans="1:14" x14ac:dyDescent="0.25">
      <c r="C4">
        <v>11</v>
      </c>
      <c r="D4">
        <v>3</v>
      </c>
      <c r="G4">
        <v>7.3</v>
      </c>
      <c r="H4">
        <v>3</v>
      </c>
      <c r="J4">
        <v>9.1999999999999993</v>
      </c>
      <c r="K4">
        <v>6.1</v>
      </c>
      <c r="M4">
        <v>11</v>
      </c>
      <c r="N4">
        <v>7.2</v>
      </c>
    </row>
    <row r="5" spans="1:14" x14ac:dyDescent="0.25">
      <c r="C5">
        <v>11</v>
      </c>
      <c r="D5">
        <v>11</v>
      </c>
      <c r="G5">
        <v>16</v>
      </c>
      <c r="H5">
        <v>11</v>
      </c>
      <c r="J5">
        <v>13</v>
      </c>
      <c r="K5">
        <v>6.1</v>
      </c>
      <c r="M5">
        <v>15</v>
      </c>
      <c r="N5">
        <v>11</v>
      </c>
    </row>
    <row r="6" spans="1:14" x14ac:dyDescent="0.25">
      <c r="C6">
        <v>11</v>
      </c>
      <c r="D6">
        <v>7.3</v>
      </c>
      <c r="G6">
        <v>15</v>
      </c>
      <c r="H6">
        <v>7.3</v>
      </c>
      <c r="J6">
        <v>12</v>
      </c>
      <c r="K6">
        <v>9.3000000000000007</v>
      </c>
      <c r="M6">
        <v>11</v>
      </c>
      <c r="N6">
        <v>3.6</v>
      </c>
    </row>
    <row r="7" spans="1:14" x14ac:dyDescent="0.25">
      <c r="C7">
        <v>7.3</v>
      </c>
      <c r="D7">
        <v>7.3</v>
      </c>
      <c r="G7">
        <v>7.2</v>
      </c>
      <c r="H7">
        <v>3.6</v>
      </c>
      <c r="J7">
        <v>9.1999999999999993</v>
      </c>
      <c r="K7">
        <v>3</v>
      </c>
      <c r="M7">
        <v>9</v>
      </c>
      <c r="N7">
        <v>3</v>
      </c>
    </row>
    <row r="8" spans="1:14" x14ac:dyDescent="0.25">
      <c r="C8">
        <v>3.6</v>
      </c>
      <c r="D8">
        <v>3.6</v>
      </c>
      <c r="G8">
        <v>7.2</v>
      </c>
      <c r="H8">
        <v>3.6</v>
      </c>
      <c r="J8">
        <v>7.3</v>
      </c>
      <c r="K8">
        <v>3.6</v>
      </c>
      <c r="M8">
        <v>6</v>
      </c>
      <c r="N8">
        <v>3</v>
      </c>
    </row>
    <row r="11" spans="1:14" x14ac:dyDescent="0.25">
      <c r="A11">
        <v>43</v>
      </c>
      <c r="B11">
        <v>23</v>
      </c>
      <c r="D11">
        <v>93</v>
      </c>
      <c r="E11">
        <v>43</v>
      </c>
    </row>
    <row r="12" spans="1:14" x14ac:dyDescent="0.25">
      <c r="A12">
        <v>23</v>
      </c>
      <c r="B12">
        <v>9.1</v>
      </c>
      <c r="D12">
        <v>43</v>
      </c>
      <c r="E12">
        <v>23</v>
      </c>
    </row>
    <row r="13" spans="1:14" x14ac:dyDescent="0.25">
      <c r="A13">
        <v>21</v>
      </c>
      <c r="B13">
        <v>15</v>
      </c>
      <c r="D13">
        <v>35</v>
      </c>
      <c r="E13">
        <v>28</v>
      </c>
    </row>
    <row r="14" spans="1:14" x14ac:dyDescent="0.25">
      <c r="A14">
        <v>21</v>
      </c>
      <c r="B14">
        <v>15</v>
      </c>
      <c r="D14">
        <v>43</v>
      </c>
      <c r="E14">
        <v>23</v>
      </c>
    </row>
    <row r="15" spans="1:14" x14ac:dyDescent="0.25">
      <c r="A15">
        <v>24</v>
      </c>
      <c r="B15">
        <v>15</v>
      </c>
      <c r="D15">
        <v>35</v>
      </c>
      <c r="E15">
        <v>21</v>
      </c>
    </row>
    <row r="16" spans="1:14" x14ac:dyDescent="0.25">
      <c r="A16">
        <v>9</v>
      </c>
      <c r="B16">
        <v>3</v>
      </c>
      <c r="D16">
        <v>15</v>
      </c>
      <c r="E16">
        <v>15</v>
      </c>
    </row>
    <row r="17" spans="1:13" x14ac:dyDescent="0.25">
      <c r="A17">
        <v>6</v>
      </c>
      <c r="B17">
        <v>3</v>
      </c>
      <c r="D17">
        <v>15</v>
      </c>
      <c r="E17">
        <v>15</v>
      </c>
    </row>
    <row r="18" spans="1:13" x14ac:dyDescent="0.25">
      <c r="F18" s="173">
        <v>3540</v>
      </c>
      <c r="G18" s="173">
        <v>2350</v>
      </c>
      <c r="H18" s="173">
        <v>2060</v>
      </c>
      <c r="I18" s="173">
        <v>2670</v>
      </c>
      <c r="J18" s="173">
        <v>2360</v>
      </c>
      <c r="K18">
        <v>315</v>
      </c>
      <c r="L18">
        <v>309</v>
      </c>
    </row>
    <row r="20" spans="1:13" x14ac:dyDescent="0.25">
      <c r="B20">
        <v>150</v>
      </c>
      <c r="C20">
        <v>75</v>
      </c>
      <c r="F20">
        <v>3540</v>
      </c>
    </row>
    <row r="21" spans="1:13" x14ac:dyDescent="0.25">
      <c r="B21">
        <v>75</v>
      </c>
      <c r="C21">
        <v>43</v>
      </c>
      <c r="F21">
        <v>2350</v>
      </c>
    </row>
    <row r="22" spans="1:13" x14ac:dyDescent="0.25">
      <c r="B22">
        <v>75</v>
      </c>
      <c r="C22">
        <v>23</v>
      </c>
      <c r="F22">
        <v>2060</v>
      </c>
    </row>
    <row r="23" spans="1:13" x14ac:dyDescent="0.25">
      <c r="B23">
        <v>43</v>
      </c>
      <c r="C23">
        <v>23</v>
      </c>
      <c r="F23">
        <v>2670</v>
      </c>
    </row>
    <row r="24" spans="1:13" x14ac:dyDescent="0.25">
      <c r="B24">
        <v>43</v>
      </c>
      <c r="C24">
        <v>15</v>
      </c>
      <c r="F24">
        <v>2360</v>
      </c>
    </row>
    <row r="25" spans="1:13" x14ac:dyDescent="0.25">
      <c r="B25">
        <v>35</v>
      </c>
      <c r="C25">
        <v>14</v>
      </c>
      <c r="F25">
        <v>315</v>
      </c>
    </row>
    <row r="26" spans="1:13" x14ac:dyDescent="0.25">
      <c r="B26">
        <v>15</v>
      </c>
      <c r="C26">
        <v>9.1</v>
      </c>
      <c r="F26">
        <v>309</v>
      </c>
    </row>
    <row r="31" spans="1:13" x14ac:dyDescent="0.25">
      <c r="G31">
        <v>3.6</v>
      </c>
      <c r="H31">
        <v>7.2</v>
      </c>
      <c r="I31">
        <v>3</v>
      </c>
      <c r="J31">
        <v>3.6</v>
      </c>
      <c r="K31">
        <v>6.1</v>
      </c>
      <c r="L31">
        <v>3.6</v>
      </c>
      <c r="M31">
        <v>6.1</v>
      </c>
    </row>
    <row r="32" spans="1:13" x14ac:dyDescent="0.25">
      <c r="G32">
        <v>3.6</v>
      </c>
      <c r="H32">
        <v>3.6</v>
      </c>
      <c r="I32">
        <v>3</v>
      </c>
      <c r="J32">
        <v>3.6</v>
      </c>
      <c r="K32">
        <v>3</v>
      </c>
      <c r="L32">
        <v>3</v>
      </c>
      <c r="M32">
        <v>3</v>
      </c>
    </row>
    <row r="36" spans="7:8" x14ac:dyDescent="0.25">
      <c r="G36">
        <v>3.6</v>
      </c>
      <c r="H36">
        <v>3.6</v>
      </c>
    </row>
    <row r="37" spans="7:8" x14ac:dyDescent="0.25">
      <c r="G37">
        <v>7.2</v>
      </c>
      <c r="H37">
        <v>3.6</v>
      </c>
    </row>
    <row r="38" spans="7:8" x14ac:dyDescent="0.25">
      <c r="G38">
        <v>3</v>
      </c>
      <c r="H38">
        <v>3</v>
      </c>
    </row>
    <row r="39" spans="7:8" x14ac:dyDescent="0.25">
      <c r="G39">
        <v>3.6</v>
      </c>
      <c r="H39">
        <v>3.6</v>
      </c>
    </row>
    <row r="40" spans="7:8" x14ac:dyDescent="0.25">
      <c r="G40">
        <v>6.1</v>
      </c>
      <c r="H40">
        <v>3</v>
      </c>
    </row>
    <row r="41" spans="7:8" x14ac:dyDescent="0.25">
      <c r="G41">
        <v>3.6</v>
      </c>
      <c r="H41">
        <v>3</v>
      </c>
    </row>
    <row r="42" spans="7:8" x14ac:dyDescent="0.25">
      <c r="G42">
        <v>6.1</v>
      </c>
      <c r="H4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14</vt:i4>
      </vt:variant>
    </vt:vector>
  </HeadingPairs>
  <TitlesOfParts>
    <vt:vector size="37" baseType="lpstr">
      <vt:lpstr>MARZO 2022</vt:lpstr>
      <vt:lpstr>GRAFICOS- MARZO2022</vt:lpstr>
      <vt:lpstr>FEBRERO 2025</vt:lpstr>
      <vt:lpstr>JULIO 2025 </vt:lpstr>
      <vt:lpstr>NOVIEMBRE 2025</vt:lpstr>
      <vt:lpstr>JUNIO 2023</vt:lpstr>
      <vt:lpstr>JULIO 2023 </vt:lpstr>
      <vt:lpstr>MAYO</vt:lpstr>
      <vt:lpstr>SETIEMBRE 2023</vt:lpstr>
      <vt:lpstr>JUNIO</vt:lpstr>
      <vt:lpstr>JULIO</vt:lpstr>
      <vt:lpstr>AGOSTO</vt:lpstr>
      <vt:lpstr>SETIEMBRE</vt:lpstr>
      <vt:lpstr>OCTUBRE</vt:lpstr>
      <vt:lpstr>NOVIEMBRE</vt:lpstr>
      <vt:lpstr>DICIEMBRE</vt:lpstr>
      <vt:lpstr>microbiologia</vt:lpstr>
      <vt:lpstr>ABRIL VS MARZO</vt:lpstr>
      <vt:lpstr>TOLERABCIA DE CULTIVOS ACONDUT</vt:lpstr>
      <vt:lpstr>graficos abril vs marzo</vt:lpstr>
      <vt:lpstr>PARAMETROS FISICOS</vt:lpstr>
      <vt:lpstr>PARAMETROS QUIMICOS  </vt:lpstr>
      <vt:lpstr>Hoja1</vt:lpstr>
      <vt:lpstr>AGOSTO!Área_de_impresión</vt:lpstr>
      <vt:lpstr>DICIEMBRE!Área_de_impresión</vt:lpstr>
      <vt:lpstr>'FEBRERO 2025'!Área_de_impresión</vt:lpstr>
      <vt:lpstr>JULIO!Área_de_impresión</vt:lpstr>
      <vt:lpstr>'JULIO 2023 '!Área_de_impresión</vt:lpstr>
      <vt:lpstr>'JULIO 2025 '!Área_de_impresión</vt:lpstr>
      <vt:lpstr>JUNIO!Área_de_impresión</vt:lpstr>
      <vt:lpstr>'JUNIO 2023'!Área_de_impresión</vt:lpstr>
      <vt:lpstr>MAYO!Área_de_impresión</vt:lpstr>
      <vt:lpstr>NOVIEMBRE!Área_de_impresión</vt:lpstr>
      <vt:lpstr>'NOVIEMBRE 2025'!Área_de_impresión</vt:lpstr>
      <vt:lpstr>OCTUBRE!Área_de_impresión</vt:lpstr>
      <vt:lpstr>SETIEMBRE!Área_de_impresión</vt:lpstr>
      <vt:lpstr>'SETIEMBRE 2023'!Área_de_impresión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Rosa Anais Baca Ardiles</cp:lastModifiedBy>
  <dcterms:created xsi:type="dcterms:W3CDTF">2022-04-27T18:43:51Z</dcterms:created>
  <dcterms:modified xsi:type="dcterms:W3CDTF">2026-01-12T16:40:33Z</dcterms:modified>
</cp:coreProperties>
</file>