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IP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Blank space is inactive player (unranked)</t>
      </text>
    </comment>
    <comment authorId="0" ref="F3">
      <text>
        <t xml:space="preserve">DPI/CPI setting on mouse.</t>
      </text>
    </comment>
    <comment authorId="0" ref="G3">
      <text>
        <t xml:space="preserve">Windows mouse settings. Enhance pointer precision always assumed turned Off.</t>
      </text>
    </comment>
    <comment authorId="0" ref="I3">
      <text>
        <t xml:space="preserve">In-game resolution and monitor refresh rate.</t>
      </text>
    </comment>
    <comment authorId="0" ref="L3">
      <text>
        <t xml:space="preserve">Effective mouse operation area (in mm) after all resolutions calculated. Not to be confused with tablet area.</t>
      </text>
    </comment>
    <comment authorId="0" ref="P3">
      <text>
        <t xml:space="preserve">Weight without cable. Some mouse have adjustable weight, displayed weight is what player uses.</t>
      </text>
    </comment>
    <comment authorId="0" ref="T3">
      <text>
        <t xml:space="preserve">Left &amp; right button switch.</t>
      </text>
    </comment>
    <comment authorId="0" ref="V3">
      <text>
        <t xml:space="preserve">Stock or modified buttons used for "Z X".</t>
      </text>
    </comment>
    <comment authorId="0" ref="D8">
      <text>
        <t xml:space="preserve">Skygamer12</t>
      </text>
    </comment>
    <comment authorId="0" ref="D10">
      <text>
        <t xml:space="preserve">fieryragee
furryrage</t>
      </text>
    </comment>
    <comment authorId="0" ref="D14">
      <text>
        <t xml:space="preserve">ALust</t>
      </text>
    </comment>
    <comment authorId="0" ref="D31">
      <text>
        <t xml:space="preserve">orange1115</t>
      </text>
    </comment>
    <comment authorId="0" ref="D39">
      <text>
        <t xml:space="preserve">metasynth-</t>
      </text>
    </comment>
    <comment authorId="0" ref="D45">
      <text>
        <t xml:space="preserve">Marika
MiloMilo</t>
      </text>
    </comment>
    <comment authorId="0" ref="D50">
      <text>
        <t xml:space="preserve">dngur521</t>
      </text>
    </comment>
    <comment authorId="0" ref="D52">
      <text>
        <t xml:space="preserve">chankoma</t>
      </text>
    </comment>
    <comment authorId="0" ref="D56">
      <text>
        <t xml:space="preserve">Kiyame</t>
      </text>
    </comment>
    <comment authorId="0" ref="D58">
      <text>
        <t xml:space="preserve">Flamingo</t>
      </text>
    </comment>
    <comment authorId="0" ref="D63">
      <text>
        <t xml:space="preserve">i suck</t>
      </text>
    </comment>
    <comment authorId="0" ref="D65">
      <text>
        <t xml:space="preserve">Ayalis
SATK</t>
      </text>
    </comment>
    <comment authorId="0" ref="D74">
      <text>
        <t xml:space="preserve">Touushiir0</t>
      </text>
    </comment>
    <comment authorId="0" ref="D79">
      <text>
        <t xml:space="preserve">sympathy</t>
      </text>
    </comment>
    <comment authorId="0" ref="D82">
      <text>
        <t xml:space="preserve">100followilchq</t>
      </text>
    </comment>
    <comment authorId="0" ref="D87">
      <text>
        <t xml:space="preserve">satriobp</t>
      </text>
    </comment>
    <comment authorId="0" ref="D94">
      <text>
        <t xml:space="preserve">gissiriankooo</t>
      </text>
    </comment>
    <comment authorId="0" ref="D98">
      <text>
        <t xml:space="preserve">Doomsday93</t>
      </text>
    </comment>
    <comment authorId="0" ref="D104">
      <text>
        <t xml:space="preserve">LRJulien
_LRJ_</t>
      </text>
    </comment>
    <comment authorId="0" ref="D107">
      <text>
        <t xml:space="preserve">poomyac129</t>
      </text>
    </comment>
    <comment authorId="0" ref="D113">
      <text>
        <t xml:space="preserve">xILikeRice</t>
      </text>
    </comment>
    <comment authorId="0" ref="D117">
      <text>
        <t xml:space="preserve">Professional Overwatch player</t>
      </text>
    </comment>
    <comment authorId="0" ref="I118">
      <text>
        <t xml:space="preserve">144Hz
</t>
      </text>
    </comment>
    <comment authorId="0" ref="D121">
      <text>
        <t xml:space="preserve">ThisisGenesis</t>
      </text>
    </comment>
    <comment authorId="0" ref="D124">
      <text>
        <t xml:space="preserve">Bakt Potet</t>
      </text>
    </comment>
    <comment authorId="0" ref="D129">
      <text>
        <t xml:space="preserve">Texatz1</t>
      </text>
    </comment>
    <comment authorId="0" ref="D132">
      <text>
        <t xml:space="preserve">DoYouPlay_Osu
Smoothie World</t>
      </text>
    </comment>
    <comment authorId="0" ref="D134">
      <text>
        <t xml:space="preserve">Used mouse acceleration until 8200pp
Other names:
theShyyy</t>
      </text>
    </comment>
    <comment authorId="0" ref="D139">
      <text>
        <t xml:space="preserve">Gunner234</t>
      </text>
    </comment>
    <comment authorId="0" ref="D142">
      <text>
        <t xml:space="preserve">My Angel Wilchq</t>
      </text>
    </comment>
    <comment authorId="0" ref="F142">
      <text>
        <t xml:space="preserve">I've changed my settings so many times recently that I decided to give up on providing them, you can always ask on PM/Twitch</t>
      </text>
    </comment>
    <comment authorId="0" ref="H142">
      <text>
        <t xml:space="preserve">I've changed my settings so many times recently that I decided to give up on providing them, you can always ask on PM/Twitch</t>
      </text>
    </comment>
    <comment authorId="0" ref="I142">
      <text>
        <t xml:space="preserve">I've changed my settings so many times recently that I decided to give up on providing them, you can always ask on PM/Twitch
</t>
      </text>
    </comment>
    <comment authorId="0" ref="D143">
      <text>
        <t xml:space="preserve">mousesensordead
ril</t>
      </text>
    </comment>
    <comment authorId="0" ref="D147">
      <text>
        <t xml:space="preserve">slf1998fy</t>
      </text>
    </comment>
    <comment authorId="0" ref="D148">
      <text>
        <t xml:space="preserve">warrock</t>
      </text>
    </comment>
    <comment authorId="0" ref="D152">
      <text>
        <t xml:space="preserve">tensawpm</t>
      </text>
    </comment>
    <comment authorId="0" ref="D161">
      <text>
        <t xml:space="preserve">zoomxritz</t>
      </text>
    </comment>
    <comment authorId="0" ref="D178">
      <text>
        <t xml:space="preserve">johnko1234</t>
      </text>
    </comment>
    <comment authorId="0" ref="D180">
      <text>
        <t xml:space="preserve">KevinWangSOK</t>
      </text>
    </comment>
    <comment authorId="0" ref="D181">
      <text>
        <t xml:space="preserve">slf1998fy</t>
      </text>
    </comment>
    <comment authorId="0" ref="D182">
      <text>
        <t xml:space="preserve">LopezzPro</t>
      </text>
    </comment>
    <comment authorId="0" ref="D193">
      <text>
        <t xml:space="preserve">k0stecky</t>
      </text>
    </comment>
    <comment authorId="0" ref="D208">
      <text>
        <t xml:space="preserve">dakuburasut</t>
      </text>
    </comment>
    <comment authorId="0" ref="I221">
      <text>
        <t xml:space="preserve">60Hz</t>
      </text>
    </comment>
    <comment authorId="0" ref="D222">
      <text>
        <t xml:space="preserve">KukiMonster</t>
      </text>
    </comment>
    <comment authorId="0" ref="D227">
      <text>
        <t xml:space="preserve">Xperv</t>
      </text>
    </comment>
    <comment authorId="0" ref="D229">
      <text>
        <t xml:space="preserve">Flamingo
W3SON</t>
      </text>
    </comment>
    <comment authorId="0" ref="D237">
      <text>
        <t xml:space="preserve">Kasino</t>
      </text>
    </comment>
    <comment authorId="0" ref="D244">
      <text>
        <t xml:space="preserve">DarkAngelCZ</t>
      </text>
    </comment>
    <comment authorId="0" ref="D246">
      <text>
        <t xml:space="preserve">nahh</t>
      </text>
    </comment>
    <comment authorId="0" ref="D255">
      <text>
        <t xml:space="preserve">OsuIsDeadToMe</t>
      </text>
    </comment>
    <comment authorId="0" ref="G255">
      <text>
        <t xml:space="preserve">he's using linux
</t>
      </text>
    </comment>
    <comment authorId="0" ref="D257">
      <text>
        <t xml:space="preserve">dok1e
doki doki</t>
      </text>
    </comment>
    <comment authorId="0" ref="D262">
      <text>
        <t xml:space="preserve">Pyonta
162515142001</t>
      </text>
    </comment>
    <comment authorId="0" ref="D276">
      <text>
        <t xml:space="preserve">Empty123</t>
      </text>
    </comment>
    <comment authorId="0" ref="D283">
      <text>
        <t xml:space="preserve">k6f8r1q3</t>
      </text>
    </comment>
    <comment authorId="0" ref="D290">
      <text>
        <t xml:space="preserve">SOLID771</t>
      </text>
    </comment>
    <comment authorId="0" ref="D295">
      <text>
        <t xml:space="preserve">mathew</t>
      </text>
    </comment>
    <comment authorId="0" ref="D314">
      <text>
        <t xml:space="preserve">loliXn</t>
      </text>
    </comment>
    <comment authorId="0" ref="D315">
      <text>
        <t xml:space="preserve">Pantsuki</t>
      </text>
    </comment>
    <comment authorId="0" ref="D316">
      <text>
        <t xml:space="preserve">Laughy</t>
      </text>
    </comment>
    <comment authorId="0" ref="D317">
      <text>
        <t xml:space="preserve">id1e
Teae</t>
      </text>
    </comment>
    <comment authorId="0" ref="D321">
      <text>
        <t xml:space="preserve">JTrat</t>
      </text>
    </comment>
    <comment authorId="0" ref="D334">
      <text>
        <t xml:space="preserve">ChickeeN</t>
      </text>
    </comment>
    <comment authorId="0" ref="D336">
      <text>
        <t xml:space="preserve">kennyyam</t>
      </text>
    </comment>
    <comment authorId="0" ref="D337">
      <text>
        <t xml:space="preserve">Rui334</t>
      </text>
    </comment>
    <comment authorId="0" ref="D341">
      <text>
        <t xml:space="preserve">Paizuri
</t>
      </text>
    </comment>
    <comment authorId="0" ref="D344">
      <text>
        <t xml:space="preserve">skrgus2009</t>
      </text>
    </comment>
    <comment authorId="0" ref="D347">
      <text>
        <t xml:space="preserve">I Love Amamiya</t>
      </text>
    </comment>
    <comment authorId="0" ref="D350">
      <text>
        <t xml:space="preserve">tjen</t>
      </text>
    </comment>
    <comment authorId="0" ref="D355">
      <text>
        <t xml:space="preserve">KevinWangSOK</t>
      </text>
    </comment>
    <comment authorId="0" ref="D361">
      <text>
        <t xml:space="preserve">Cryophoenix</t>
      </text>
    </comment>
    <comment authorId="0" ref="D377">
      <text>
        <t xml:space="preserve">k6f8r1q3</t>
      </text>
    </comment>
    <comment authorId="0" ref="D378">
      <text>
        <t xml:space="preserve">Sala-</t>
      </text>
    </comment>
    <comment authorId="0" ref="D395">
      <text>
        <t xml:space="preserve">lamiaro</t>
      </text>
    </comment>
    <comment authorId="0" ref="D400">
      <text>
        <t xml:space="preserve">pondokers</t>
      </text>
    </comment>
    <comment authorId="0" ref="D402">
      <text>
        <t xml:space="preserve">Bloody_Hell</t>
      </text>
    </comment>
    <comment authorId="0" ref="D409">
      <text>
        <t xml:space="preserve">5231Jing</t>
      </text>
    </comment>
    <comment authorId="0" ref="D415">
      <text>
        <t xml:space="preserve">Doddo</t>
      </text>
    </comment>
    <comment authorId="0" ref="D421">
      <text>
        <t xml:space="preserve">[-Cong-]</t>
      </text>
    </comment>
    <comment authorId="0" ref="I427">
      <text>
        <t xml:space="preserve">240hz
</t>
      </text>
    </comment>
    <comment authorId="0" ref="D437">
      <text>
        <t xml:space="preserve">[Holo The Wise]
grandmastergibz</t>
      </text>
    </comment>
    <comment authorId="0" ref="D462">
      <text>
        <t xml:space="preserve">Played on the floor until 7000pp+
Other names:
Metamorfosis</t>
      </text>
    </comment>
    <comment authorId="0" ref="D466">
      <text>
        <t xml:space="preserve">Dm1321</t>
      </text>
    </comment>
    <comment authorId="0" ref="D486">
      <text>
        <t xml:space="preserve">tjen</t>
      </text>
    </comment>
    <comment authorId="0" ref="D496">
      <text>
        <t xml:space="preserve">yuno2nd</t>
      </text>
    </comment>
    <comment authorId="0" ref="D503">
      <text>
        <t xml:space="preserve">tubasakura</t>
      </text>
    </comment>
    <comment authorId="0" ref="D508">
      <text>
        <t xml:space="preserve">Kasenju01</t>
      </text>
    </comment>
    <comment authorId="0" ref="D513">
      <text>
        <t xml:space="preserve">Meekz</t>
      </text>
    </comment>
    <comment authorId="0" ref="D518">
      <text>
        <t xml:space="preserve">BlueLightBleze</t>
      </text>
    </comment>
    <comment authorId="0" ref="D541">
      <text>
        <t xml:space="preserve">MacDonalds
Aink</t>
      </text>
    </comment>
    <comment authorId="0" ref="D547">
      <text>
        <t xml:space="preserve">automatizer</t>
      </text>
    </comment>
    <comment authorId="0" ref="D548">
      <text>
        <t xml:space="preserve">Weyland97</t>
      </text>
    </comment>
    <comment authorId="0" ref="D561">
      <text>
        <t xml:space="preserve">fndlwm1591</t>
      </text>
    </comment>
    <comment authorId="0" ref="D568">
      <text>
        <t xml:space="preserve">skyzoderp</t>
      </text>
    </comment>
    <comment authorId="0" ref="D579">
      <text>
        <t xml:space="preserve">LopezzPro</t>
      </text>
    </comment>
    <comment authorId="0" ref="D585">
      <text>
        <t xml:space="preserve">aliente</t>
      </text>
    </comment>
    <comment authorId="0" ref="D587">
      <text>
        <t xml:space="preserve">Kasino</t>
      </text>
    </comment>
    <comment authorId="0" ref="D604">
      <text>
        <t xml:space="preserve">Gladi</t>
      </text>
    </comment>
    <comment authorId="0" ref="D606">
      <text>
        <t xml:space="preserve">Kokozord</t>
      </text>
    </comment>
    <comment authorId="0" ref="D607">
      <text>
        <t xml:space="preserve">_Yurii_</t>
      </text>
    </comment>
    <comment authorId="0" ref="D609">
      <text>
        <t xml:space="preserve">Sinkpqpq</t>
      </text>
    </comment>
    <comment authorId="0" ref="D621">
      <text>
        <t xml:space="preserve">rikowei</t>
      </text>
    </comment>
    <comment authorId="0" ref="D622">
      <text>
        <t xml:space="preserve">*God of mouse only SS plays</t>
      </text>
    </comment>
    <comment authorId="0" ref="D626">
      <text>
        <t xml:space="preserve">*Godess of HD SS plays</t>
      </text>
    </comment>
    <comment authorId="0" ref="D628">
      <text>
        <t xml:space="preserve">Firebat
MyAngelMegumin
AngeLMegumin</t>
      </text>
    </comment>
    <comment authorId="0" ref="D630">
      <text>
        <t xml:space="preserve">Best player to use OEM/Laser mouse</t>
      </text>
    </comment>
    <comment authorId="0" ref="D636">
      <text>
        <t xml:space="preserve">Mizuki-</t>
      </text>
    </comment>
    <comment authorId="0" ref="D641">
      <text>
        <t xml:space="preserve">otiaN_1221</t>
      </text>
    </comment>
    <comment authorId="0" ref="D642">
      <text>
        <t xml:space="preserve">Alucado</t>
      </text>
    </comment>
    <comment authorId="0" ref="D643">
      <text>
        <t xml:space="preserve">Reincarnation-S</t>
      </text>
    </comment>
    <comment authorId="0" ref="D644">
      <text>
        <t xml:space="preserve">_duderawr</t>
      </text>
    </comment>
    <comment authorId="0" ref="D645">
      <text>
        <t xml:space="preserve">xILikeRice</t>
      </text>
    </comment>
    <comment authorId="0" ref="D646">
      <text>
        <t xml:space="preserve">_NEIKAN</t>
      </text>
    </comment>
    <comment authorId="0" ref="I647">
      <text>
        <t xml:space="preserve">144Hz
</t>
      </text>
    </comment>
    <comment authorId="0" ref="D648">
      <text>
        <t xml:space="preserve">TheComputerNerd</t>
      </text>
    </comment>
    <comment authorId="0" ref="D654">
      <text>
        <t xml:space="preserve">kelen6107</t>
      </text>
    </comment>
    <comment authorId="0" ref="D664">
      <text>
        <t xml:space="preserve">SCIILiberty
[A u t o]</t>
      </text>
    </comment>
    <comment authorId="0" ref="D666">
      <text>
        <t xml:space="preserve">get memed kiddo
former 8kpp but rolled out so low rank is just temporary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Blank space is inactive player (unranked)</t>
      </text>
    </comment>
    <comment authorId="0" ref="F3">
      <text>
        <t xml:space="preserve">DPI/CPI setting on mouse.</t>
      </text>
    </comment>
    <comment authorId="0" ref="G3">
      <text>
        <t xml:space="preserve">Windows mouse settings. Enhance pointer precision always assumed turned Off.</t>
      </text>
    </comment>
    <comment authorId="0" ref="I3">
      <text>
        <t xml:space="preserve">In-game resolution and monitor refresh rate.</t>
      </text>
    </comment>
    <comment authorId="0" ref="L3">
      <text>
        <t xml:space="preserve">Effective mouse operation area (in mm) after all resolutions calculated. Not to be confused with tablet area.</t>
      </text>
    </comment>
    <comment authorId="0" ref="P3">
      <text>
        <t xml:space="preserve">Weight without cable. Some mouse have adjustable weight, displayed weight is what player uses.</t>
      </text>
    </comment>
    <comment authorId="0" ref="T3">
      <text>
        <t xml:space="preserve">Left &amp; right button switch.</t>
      </text>
    </comment>
    <comment authorId="0" ref="V3">
      <text>
        <t xml:space="preserve">Stock or modified buttons used for "Z X".</t>
      </text>
    </comment>
    <comment authorId="0" ref="D14">
      <text>
        <t xml:space="preserve">Lowest dpi on the list so far</t>
      </text>
    </comment>
    <comment authorId="0" ref="D21">
      <text>
        <t xml:space="preserve">ykcarrot</t>
      </text>
    </comment>
    <comment authorId="0" ref="D25">
      <text>
        <t xml:space="preserve">Nerodae</t>
      </text>
    </comment>
    <comment authorId="0" ref="D27">
      <text>
        <t xml:space="preserve">Prince</t>
      </text>
    </comment>
    <comment authorId="0" ref="D33">
      <text>
        <t xml:space="preserve">Moosqueak</t>
      </text>
    </comment>
    <comment authorId="0" ref="D47">
      <text>
        <t xml:space="preserve">Wishxrai</t>
      </text>
    </comment>
    <comment authorId="0" ref="D49">
      <text>
        <t xml:space="preserve">Kriers</t>
      </text>
    </comment>
    <comment authorId="0" ref="D57">
      <text>
        <t xml:space="preserve">klusek0001</t>
      </text>
    </comment>
    <comment authorId="0" ref="D62">
      <text>
        <t xml:space="preserve">gomimimi</t>
      </text>
    </comment>
    <comment authorId="0" ref="D63">
      <text>
        <t xml:space="preserve">Kewbey</t>
      </text>
    </comment>
    <comment authorId="0" ref="D87">
      <text>
        <t xml:space="preserve">jyvii</t>
      </text>
    </comment>
    <comment authorId="0" ref="D92">
      <text>
        <t xml:space="preserve">
</t>
      </text>
    </comment>
    <comment authorId="0" ref="D98">
      <text>
        <t xml:space="preserve">FuNnY--</t>
      </text>
    </comment>
    <comment authorId="0" ref="D99">
      <text>
        <t xml:space="preserve">yandrew</t>
      </text>
    </comment>
    <comment authorId="0" ref="D109">
      <text>
        <t xml:space="preserve">badatdisgaem</t>
      </text>
    </comment>
    <comment authorId="0" ref="D118">
      <text>
        <t xml:space="preserve">Sinkpqpq</t>
      </text>
    </comment>
    <comment authorId="0" ref="D119">
      <text>
        <t xml:space="preserve">Z e o n
ZeonPlay</t>
      </text>
    </comment>
    <comment authorId="0" ref="D123">
      <text>
        <t xml:space="preserve">[-Cong-]</t>
      </text>
    </comment>
    <comment authorId="0" ref="D127">
      <text>
        <t xml:space="preserve">Shiranui Yuno</t>
      </text>
    </comment>
    <comment authorId="0" ref="D131">
      <text>
        <t xml:space="preserve">frendle</t>
      </text>
    </comment>
    <comment authorId="0" ref="D140">
      <text>
        <t xml:space="preserve">KonataSuzumiya</t>
      </text>
    </comment>
    <comment authorId="0" ref="D146">
      <text>
        <t xml:space="preserve">Alucado</t>
      </text>
    </comment>
    <comment authorId="0" ref="D155">
      <text>
        <t xml:space="preserve">MeMoryy</t>
      </text>
    </comment>
    <comment authorId="0" ref="D157">
      <text>
        <t xml:space="preserve">klusek0001</t>
      </text>
    </comment>
    <comment authorId="0" ref="D162">
      <text>
        <t xml:space="preserve">Plays on a bed! Used mouse accel. until ~6500pp.</t>
      </text>
    </comment>
    <comment authorId="0" ref="D165">
      <text>
        <t xml:space="preserve">Wishxrai</t>
      </text>
    </comment>
    <comment authorId="0" ref="D169">
      <text>
        <t xml:space="preserve">K_S</t>
      </text>
    </comment>
    <comment authorId="0" ref="D183">
      <text>
        <t xml:space="preserve">Bass-chan
Bassmaster
</t>
      </text>
    </comment>
    <comment authorId="0" ref="D193">
      <text>
        <t xml:space="preserve">white_m</t>
      </text>
    </comment>
    <comment authorId="0" ref="D194">
      <text>
        <t xml:space="preserve">gunther1</t>
      </text>
    </comment>
    <comment authorId="0" ref="D198">
      <text>
        <t xml:space="preserve">SimWs</t>
      </text>
    </comment>
    <comment authorId="0" ref="D211">
      <text>
        <t xml:space="preserve">qwartermain</t>
      </text>
    </comment>
    <comment authorId="0" ref="D226">
      <text>
        <t xml:space="preserve">rairyuu0220</t>
      </text>
    </comment>
    <comment authorId="0" ref="D227">
      <text>
        <t xml:space="preserve">skyzoderp</t>
      </text>
    </comment>
    <comment authorId="0" ref="D232">
      <text>
        <t xml:space="preserve">LunaticMara</t>
      </text>
    </comment>
  </commentList>
</comments>
</file>

<file path=xl/sharedStrings.xml><?xml version="1.0" encoding="utf-8"?>
<sst xmlns="http://schemas.openxmlformats.org/spreadsheetml/2006/main" count="9423" uniqueCount="2675">
  <si>
    <t>bonc</t>
  </si>
  <si>
    <t>Ranks updated regularly, thanks to Kirinya for making a script! | Know someone who is not on this list? Send a pm to I Give Up, NixXSkate on forum or in-game | #neverforget Angelsim global rank #1 on 8th - 21st October 2016</t>
  </si>
  <si>
    <t>Profile</t>
  </si>
  <si>
    <t>Sensitivity</t>
  </si>
  <si>
    <t>Mouse Specifications</t>
  </si>
  <si>
    <t>Keyboard Specifications</t>
  </si>
  <si>
    <t>Rank</t>
  </si>
  <si>
    <t>Global</t>
  </si>
  <si>
    <t>PP</t>
  </si>
  <si>
    <t>Name</t>
  </si>
  <si>
    <t>Playstyle</t>
  </si>
  <si>
    <t>DPI</t>
  </si>
  <si>
    <t>Multiplier</t>
  </si>
  <si>
    <t>Resolution</t>
  </si>
  <si>
    <t>Raw</t>
  </si>
  <si>
    <t>Polling</t>
  </si>
  <si>
    <t>Mouse Model</t>
  </si>
  <si>
    <t>Mousepad</t>
  </si>
  <si>
    <t>Sensor</t>
  </si>
  <si>
    <t>Weight</t>
  </si>
  <si>
    <t>Length</t>
  </si>
  <si>
    <t>Width</t>
  </si>
  <si>
    <t>Height</t>
  </si>
  <si>
    <t>Mouse Switch</t>
  </si>
  <si>
    <t>Keyboard Model</t>
  </si>
  <si>
    <t>Key Switch</t>
  </si>
  <si>
    <t>#1</t>
  </si>
  <si>
    <t>#9</t>
  </si>
  <si>
    <t>Mouse/KB</t>
  </si>
  <si>
    <t>6/11 Off</t>
  </si>
  <si>
    <t>0.61x</t>
  </si>
  <si>
    <t>1920x1080</t>
  </si>
  <si>
    <t>On</t>
  </si>
  <si>
    <t>1000Hz</t>
  </si>
  <si>
    <t>75x56</t>
  </si>
  <si>
    <t>Razer Abyssus v2</t>
  </si>
  <si>
    <t>Mionix XXL</t>
  </si>
  <si>
    <t>Pixart PMW3329</t>
  </si>
  <si>
    <t>80g</t>
  </si>
  <si>
    <t>117mm</t>
  </si>
  <si>
    <t>64mm</t>
  </si>
  <si>
    <t>38mm</t>
  </si>
  <si>
    <t>Omron D2FC-F-7N</t>
  </si>
  <si>
    <t>Razer Blackwidow Chroma V2</t>
  </si>
  <si>
    <t>Razer Green</t>
  </si>
  <si>
    <t>#2</t>
  </si>
  <si>
    <t>#26</t>
  </si>
  <si>
    <t>400dpi</t>
  </si>
  <si>
    <t>1.26x</t>
  </si>
  <si>
    <t>73x54</t>
  </si>
  <si>
    <t>Zowie EC2-A</t>
  </si>
  <si>
    <t>Artisan Hien</t>
  </si>
  <si>
    <t>Pixart PMW3310</t>
  </si>
  <si>
    <t>Huano (blue) Switch</t>
  </si>
  <si>
    <t>Bloody B820 Light Strike LK Optical Mechanical Gaming Keyboard</t>
  </si>
  <si>
    <t>LK Blue Switch</t>
  </si>
  <si>
    <t>#3</t>
  </si>
  <si>
    <t>#29</t>
  </si>
  <si>
    <t>1200dpi</t>
  </si>
  <si>
    <t>0.55x</t>
  </si>
  <si>
    <t>A4Tech Bloody V3</t>
  </si>
  <si>
    <t>Steelseries QcK+</t>
  </si>
  <si>
    <t>laptop keyboard</t>
  </si>
  <si>
    <t>Rubber Dome</t>
  </si>
  <si>
    <t>#4</t>
  </si>
  <si>
    <t>#33</t>
  </si>
  <si>
    <t>1150dpi</t>
  </si>
  <si>
    <t>1.0x</t>
  </si>
  <si>
    <t>32x24</t>
  </si>
  <si>
    <t>Logitech G Pro</t>
  </si>
  <si>
    <t>Pixart PMW3366DM-VWOU</t>
  </si>
  <si>
    <t>83g</t>
  </si>
  <si>
    <t>62mm</t>
  </si>
  <si>
    <t>Skydigital nKeyboard</t>
  </si>
  <si>
    <t>Red</t>
  </si>
  <si>
    <t>#5</t>
  </si>
  <si>
    <t>#34</t>
  </si>
  <si>
    <t>1000dpi</t>
  </si>
  <si>
    <t>7/11 Off</t>
  </si>
  <si>
    <t>0.6x</t>
  </si>
  <si>
    <t>800x600~1024x768</t>
  </si>
  <si>
    <t>500Hz</t>
  </si>
  <si>
    <t>33x25~43x32</t>
  </si>
  <si>
    <t>Dell MS116</t>
  </si>
  <si>
    <t>67g</t>
  </si>
  <si>
    <t>112mm</t>
  </si>
  <si>
    <t>63mm</t>
  </si>
  <si>
    <t>36mm</t>
  </si>
  <si>
    <t>CM Storm Quickfire Rapid I</t>
  </si>
  <si>
    <t>Brown</t>
  </si>
  <si>
    <t>#6</t>
  </si>
  <si>
    <t>#38</t>
  </si>
  <si>
    <t>Razer Goliathus Speed</t>
  </si>
  <si>
    <t>Ducky One 2</t>
  </si>
  <si>
    <t>Blue</t>
  </si>
  <si>
    <t>#7</t>
  </si>
  <si>
    <t>#41</t>
  </si>
  <si>
    <t>1.8x</t>
  </si>
  <si>
    <t>1600x900</t>
  </si>
  <si>
    <t>28x21</t>
  </si>
  <si>
    <t>Razer DeathAdder Chroma</t>
  </si>
  <si>
    <t>Avago ADNS-3989</t>
  </si>
  <si>
    <t>Ducky Shine 6</t>
  </si>
  <si>
    <t>#8</t>
  </si>
  <si>
    <t>#44</t>
  </si>
  <si>
    <t>800dpi</t>
  </si>
  <si>
    <t>1366x768</t>
  </si>
  <si>
    <t>33x24</t>
  </si>
  <si>
    <t>Logitech G203</t>
  </si>
  <si>
    <t>Mercury</t>
  </si>
  <si>
    <t>85g</t>
  </si>
  <si>
    <t>#46</t>
  </si>
  <si>
    <t>960dpi</t>
  </si>
  <si>
    <t>0.87~0.93x</t>
  </si>
  <si>
    <t>25x19</t>
  </si>
  <si>
    <t>Logitech G603</t>
  </si>
  <si>
    <t>Razer Goliathus Control</t>
  </si>
  <si>
    <t>CM Storm Quickfire TK</t>
  </si>
  <si>
    <t>#10</t>
  </si>
  <si>
    <t>#56</t>
  </si>
  <si>
    <t>SPC Gear LIX Plus</t>
  </si>
  <si>
    <t>Pixart PMW3360</t>
  </si>
  <si>
    <t>59g</t>
  </si>
  <si>
    <t>126mm</t>
  </si>
  <si>
    <t>66mm</t>
  </si>
  <si>
    <t>PRO x Mini v2</t>
  </si>
  <si>
    <t>#11</t>
  </si>
  <si>
    <t>#60</t>
  </si>
  <si>
    <t xml:space="preserve"> 6/11 Off</t>
  </si>
  <si>
    <t>38x29</t>
  </si>
  <si>
    <t>Logitech G403</t>
  </si>
  <si>
    <t>Cougar Speed 2M</t>
  </si>
  <si>
    <t>90g/106g</t>
  </si>
  <si>
    <t>CM Storm Quickfire TK White</t>
  </si>
  <si>
    <t>Red/Blue/Brown</t>
  </si>
  <si>
    <t>#12</t>
  </si>
  <si>
    <t>#79</t>
  </si>
  <si>
    <t>0.86x</t>
  </si>
  <si>
    <t>53x40</t>
  </si>
  <si>
    <t>Logitech G Pro Wireless</t>
  </si>
  <si>
    <t>Cougar Speed 2</t>
  </si>
  <si>
    <t>Hero</t>
  </si>
  <si>
    <t>Leopold 900R</t>
  </si>
  <si>
    <t>#13</t>
  </si>
  <si>
    <t>#92</t>
  </si>
  <si>
    <t>0.4x</t>
  </si>
  <si>
    <t>29x22</t>
  </si>
  <si>
    <t>Razer Viper Mini</t>
  </si>
  <si>
    <t>HyperX Fury</t>
  </si>
  <si>
    <t>Pixart PMW3359</t>
  </si>
  <si>
    <t>61g</t>
  </si>
  <si>
    <t>118mm</t>
  </si>
  <si>
    <t>54mm</t>
  </si>
  <si>
    <t>Razer Optical</t>
  </si>
  <si>
    <t>Ducky Shine 7</t>
  </si>
  <si>
    <t>#14</t>
  </si>
  <si>
    <t>#95</t>
  </si>
  <si>
    <t>2.22x</t>
  </si>
  <si>
    <t>17x12</t>
  </si>
  <si>
    <t>A4Tech XL-750BH</t>
  </si>
  <si>
    <t>none</t>
  </si>
  <si>
    <t>A4Tech Bloody B120</t>
  </si>
  <si>
    <t>#15</t>
  </si>
  <si>
    <t>#100</t>
  </si>
  <si>
    <t>0.63x</t>
  </si>
  <si>
    <t>Zowie S2</t>
  </si>
  <si>
    <t>82g</t>
  </si>
  <si>
    <t>122mm</t>
  </si>
  <si>
    <t>Corsair K70 RGB</t>
  </si>
  <si>
    <t>#16</t>
  </si>
  <si>
    <t>#103</t>
  </si>
  <si>
    <t>700dpi</t>
  </si>
  <si>
    <t>0.7x</t>
  </si>
  <si>
    <t>Glorious Model O</t>
  </si>
  <si>
    <t>no name</t>
  </si>
  <si>
    <t>128mm</t>
  </si>
  <si>
    <t>Corsair Strafe</t>
  </si>
  <si>
    <t>#17</t>
  </si>
  <si>
    <t>#137</t>
  </si>
  <si>
    <t>Steelseries QcK</t>
  </si>
  <si>
    <t>Logitech G710+</t>
  </si>
  <si>
    <t>#18</t>
  </si>
  <si>
    <t>#139</t>
  </si>
  <si>
    <t>1450x1040</t>
  </si>
  <si>
    <t>70x53</t>
  </si>
  <si>
    <t>Logitech G305</t>
  </si>
  <si>
    <t>Perixx DX-1000</t>
  </si>
  <si>
    <t>99g</t>
  </si>
  <si>
    <t>Vortex POK3R</t>
  </si>
  <si>
    <t>#19</t>
  </si>
  <si>
    <t>#144</t>
  </si>
  <si>
    <t>0.95x</t>
  </si>
  <si>
    <t>Off</t>
  </si>
  <si>
    <t>48x36</t>
  </si>
  <si>
    <t>Logitech G502 Limited Edition</t>
  </si>
  <si>
    <t>Varmilo Panda</t>
  </si>
  <si>
    <t>Varmilo Sakura</t>
  </si>
  <si>
    <t>#20</t>
  </si>
  <si>
    <t>#178</t>
  </si>
  <si>
    <t>Logitech G402</t>
  </si>
  <si>
    <t>Razer Goliathus Chroma</t>
  </si>
  <si>
    <t>Avago AM010</t>
  </si>
  <si>
    <t>FunOrange Keypad</t>
  </si>
  <si>
    <t>Silver</t>
  </si>
  <si>
    <t>#21</t>
  </si>
  <si>
    <t>#191</t>
  </si>
  <si>
    <t>1600dpi</t>
  </si>
  <si>
    <t>23x17</t>
  </si>
  <si>
    <t>Corsair Polaris</t>
  </si>
  <si>
    <t>Custom</t>
  </si>
  <si>
    <t>#22</t>
  </si>
  <si>
    <t>#198</t>
  </si>
  <si>
    <t>2.35x</t>
  </si>
  <si>
    <t>20x14</t>
  </si>
  <si>
    <t>Steelseries Rival 310</t>
  </si>
  <si>
    <t>Steelseries TrueMove3</t>
  </si>
  <si>
    <t>88g</t>
  </si>
  <si>
    <t>42mm</t>
  </si>
  <si>
    <t>Steelseries Switch</t>
  </si>
  <si>
    <t>HyperX Alloy</t>
  </si>
  <si>
    <t>#23</t>
  </si>
  <si>
    <t>#211</t>
  </si>
  <si>
    <t>46x34</t>
  </si>
  <si>
    <t>Ozone Groundlevel</t>
  </si>
  <si>
    <t>MKPlus Slayer M3</t>
  </si>
  <si>
    <t>Kailh Brown</t>
  </si>
  <si>
    <t>#24</t>
  </si>
  <si>
    <t>#245</t>
  </si>
  <si>
    <t>1.06x</t>
  </si>
  <si>
    <t>800x600</t>
  </si>
  <si>
    <t>24x18</t>
  </si>
  <si>
    <t>A4Tech F4</t>
  </si>
  <si>
    <t>A4Tech X7 200mp</t>
  </si>
  <si>
    <t>CM Masterkeys Pro L</t>
  </si>
  <si>
    <t>#25</t>
  </si>
  <si>
    <t>#251</t>
  </si>
  <si>
    <t>6/11 On</t>
  </si>
  <si>
    <t>15x11</t>
  </si>
  <si>
    <t>Logitech G502</t>
  </si>
  <si>
    <t>Glorious Gaming Mouse Mat</t>
  </si>
  <si>
    <t>Corsair K95</t>
  </si>
  <si>
    <t>#255</t>
  </si>
  <si>
    <t>1680x1050</t>
  </si>
  <si>
    <t>44x33</t>
  </si>
  <si>
    <t>Razer Blackwidow 2014</t>
  </si>
  <si>
    <t>#27</t>
  </si>
  <si>
    <t>#265</t>
  </si>
  <si>
    <t>Zowie EC1-B</t>
  </si>
  <si>
    <t>Omen 100</t>
  </si>
  <si>
    <t>94g</t>
  </si>
  <si>
    <t>69mm</t>
  </si>
  <si>
    <t>43mm</t>
  </si>
  <si>
    <t>Corsair K70</t>
  </si>
  <si>
    <t>#28</t>
  </si>
  <si>
    <t>#266</t>
  </si>
  <si>
    <t>rClick/Z</t>
  </si>
  <si>
    <t>1.51x</t>
  </si>
  <si>
    <t>30x23</t>
  </si>
  <si>
    <t>VicTsing MM057</t>
  </si>
  <si>
    <t>None/Desk</t>
  </si>
  <si>
    <t>Acer KU-0355</t>
  </si>
  <si>
    <t>#268</t>
  </si>
  <si>
    <t>0.62x</t>
  </si>
  <si>
    <t>61x46</t>
  </si>
  <si>
    <t>Samsung B138</t>
  </si>
  <si>
    <t>#30</t>
  </si>
  <si>
    <t>#269</t>
  </si>
  <si>
    <t>1440x900</t>
  </si>
  <si>
    <t>A4Tech Bloody B-087S</t>
  </si>
  <si>
    <t>IKBC C87 TKL</t>
  </si>
  <si>
    <t>#31</t>
  </si>
  <si>
    <t>#282</t>
  </si>
  <si>
    <t>26x20</t>
  </si>
  <si>
    <t>CM Storm MP510-L</t>
  </si>
  <si>
    <t>AKKO 3108 SP Horizon</t>
  </si>
  <si>
    <t>#32</t>
  </si>
  <si>
    <t>#302</t>
  </si>
  <si>
    <t>Roccat Savu</t>
  </si>
  <si>
    <t>Avago ADNS-3090</t>
  </si>
  <si>
    <t>#305</t>
  </si>
  <si>
    <t>1440x901</t>
  </si>
  <si>
    <t>HyperX Alloy FPS Pro</t>
  </si>
  <si>
    <t>#312</t>
  </si>
  <si>
    <t>Ducky Miya</t>
  </si>
  <si>
    <t>#35</t>
  </si>
  <si>
    <t>#316</t>
  </si>
  <si>
    <t>2650dpi</t>
  </si>
  <si>
    <t>14x10</t>
  </si>
  <si>
    <t>Logitech G102</t>
  </si>
  <si>
    <t>Ducky One</t>
  </si>
  <si>
    <t>#36</t>
  </si>
  <si>
    <t>#327</t>
  </si>
  <si>
    <t>1.66x</t>
  </si>
  <si>
    <t>1152x864</t>
  </si>
  <si>
    <t>Finalmouse 2016 Classic Ergo</t>
  </si>
  <si>
    <t>Steelseries QcK mini</t>
  </si>
  <si>
    <t>Qisan Magicforce</t>
  </si>
  <si>
    <t>#37</t>
  </si>
  <si>
    <t>#333</t>
  </si>
  <si>
    <t>1360x1024</t>
  </si>
  <si>
    <t>Logitech m105</t>
  </si>
  <si>
    <t>Logitech k120</t>
  </si>
  <si>
    <t>#350</t>
  </si>
  <si>
    <t>900dpi</t>
  </si>
  <si>
    <t>0.97x</t>
  </si>
  <si>
    <t>35x26</t>
  </si>
  <si>
    <t>A4Tech Bloody B-081</t>
  </si>
  <si>
    <t>CM CK550</t>
  </si>
  <si>
    <t>#39</t>
  </si>
  <si>
    <t>#351</t>
  </si>
  <si>
    <t>0.51x</t>
  </si>
  <si>
    <t>1280x960</t>
  </si>
  <si>
    <t>27x20</t>
  </si>
  <si>
    <t>Razer Abyssus 2014</t>
  </si>
  <si>
    <t>Avago ADNS-3888</t>
  </si>
  <si>
    <t>Ajazz AK33</t>
  </si>
  <si>
    <t>#40</t>
  </si>
  <si>
    <t>#356</t>
  </si>
  <si>
    <t>42x32</t>
  </si>
  <si>
    <t>#357</t>
  </si>
  <si>
    <t>Hybrid</t>
  </si>
  <si>
    <t>Finalmouse Ultralight Phantom</t>
  </si>
  <si>
    <t>60mm</t>
  </si>
  <si>
    <t>40mm</t>
  </si>
  <si>
    <t>Steelseries Apex M500</t>
  </si>
  <si>
    <t>#42</t>
  </si>
  <si>
    <t>#362</t>
  </si>
  <si>
    <t>Logitech G304</t>
  </si>
  <si>
    <t>Goliathus Speed</t>
  </si>
  <si>
    <t>39mm</t>
  </si>
  <si>
    <t>#43</t>
  </si>
  <si>
    <t>#365</t>
  </si>
  <si>
    <t>22x16</t>
  </si>
  <si>
    <t>Corsair K70 Rapidfire</t>
  </si>
  <si>
    <t>#366</t>
  </si>
  <si>
    <t>750dpi</t>
  </si>
  <si>
    <t>2560x1440</t>
  </si>
  <si>
    <t>Oklick 845G Acheron</t>
  </si>
  <si>
    <t>#45</t>
  </si>
  <si>
    <t>#368</t>
  </si>
  <si>
    <t>1800dpi</t>
  </si>
  <si>
    <t>33x25</t>
  </si>
  <si>
    <t>Razer Naga Hex</t>
  </si>
  <si>
    <t>Spirit of Gamer</t>
  </si>
  <si>
    <t>Philips PLN2032</t>
  </si>
  <si>
    <t>135g</t>
  </si>
  <si>
    <t>116mm</t>
  </si>
  <si>
    <t>70mm</t>
  </si>
  <si>
    <t>46mm</t>
  </si>
  <si>
    <t>#369</t>
  </si>
  <si>
    <t>0.77x</t>
  </si>
  <si>
    <t>47x36</t>
  </si>
  <si>
    <t>Razer Blackwidow Tournament Edition 2</t>
  </si>
  <si>
    <t>Razer Yellow</t>
  </si>
  <si>
    <t>#47</t>
  </si>
  <si>
    <t>#376</t>
  </si>
  <si>
    <t>Skydigital N-Mouse 4K</t>
  </si>
  <si>
    <t>Steelseries QcK Mass</t>
  </si>
  <si>
    <t>Thinkway Tiny Mech</t>
  </si>
  <si>
    <t>#48</t>
  </si>
  <si>
    <t>#379</t>
  </si>
  <si>
    <t>532dpi</t>
  </si>
  <si>
    <t>1.01x</t>
  </si>
  <si>
    <t>68x51</t>
  </si>
  <si>
    <t>Razer DeathAdder Elite</t>
  </si>
  <si>
    <t>Pixart PMW3389-T3QU</t>
  </si>
  <si>
    <t>105g</t>
  </si>
  <si>
    <t>127mm</t>
  </si>
  <si>
    <t>44mm</t>
  </si>
  <si>
    <t>CM Storm Quickfire Rapid</t>
  </si>
  <si>
    <t>#49</t>
  </si>
  <si>
    <t>#385</t>
  </si>
  <si>
    <t>Click/X</t>
  </si>
  <si>
    <t>1600x1024</t>
  </si>
  <si>
    <t>Cooler Master MasterMouse S</t>
  </si>
  <si>
    <t>Qpad UC v2</t>
  </si>
  <si>
    <t>Bit Trade One BFKB88C</t>
  </si>
  <si>
    <t>#50</t>
  </si>
  <si>
    <t>#391</t>
  </si>
  <si>
    <t>60x45</t>
  </si>
  <si>
    <t>Logitech G502 HERO</t>
  </si>
  <si>
    <t>Steelseries QcK+ / Mionix Hamburger</t>
  </si>
  <si>
    <t>Ducky One 2 TKL</t>
  </si>
  <si>
    <t>#51</t>
  </si>
  <si>
    <t>#405</t>
  </si>
  <si>
    <t>720dpi</t>
  </si>
  <si>
    <t>51x38</t>
  </si>
  <si>
    <t>#52</t>
  </si>
  <si>
    <t>#414</t>
  </si>
  <si>
    <t>Logitech G100S</t>
  </si>
  <si>
    <t>Turtle Beach Traction</t>
  </si>
  <si>
    <t>Avago AM010 N1301T/N1303T</t>
  </si>
  <si>
    <t>#53</t>
  </si>
  <si>
    <t>#417</t>
  </si>
  <si>
    <t>1.6x</t>
  </si>
  <si>
    <t>29x21</t>
  </si>
  <si>
    <t>Zowie FK2</t>
  </si>
  <si>
    <t>Roccat Alumic</t>
  </si>
  <si>
    <t>CM Storm Trigger Z</t>
  </si>
  <si>
    <t>#54</t>
  </si>
  <si>
    <t>#419</t>
  </si>
  <si>
    <t>#55</t>
  </si>
  <si>
    <t>#297</t>
  </si>
  <si>
    <t>1.07x</t>
  </si>
  <si>
    <t>1280x720</t>
  </si>
  <si>
    <t>81x61</t>
  </si>
  <si>
    <t>Logitech G400S</t>
  </si>
  <si>
    <t>Corsair MM400</t>
  </si>
  <si>
    <t>Avago ADNS-3095</t>
  </si>
  <si>
    <t>Ducky Shine 3</t>
  </si>
  <si>
    <t>#424</t>
  </si>
  <si>
    <t>52x39</t>
  </si>
  <si>
    <t>Razer DeathAdder</t>
  </si>
  <si>
    <t>#57</t>
  </si>
  <si>
    <t>#425</t>
  </si>
  <si>
    <t>#58</t>
  </si>
  <si>
    <t>#436</t>
  </si>
  <si>
    <t>37x27</t>
  </si>
  <si>
    <t>Leopold FC750R</t>
  </si>
  <si>
    <t>#59</t>
  </si>
  <si>
    <t>#440</t>
  </si>
  <si>
    <t>1024x768</t>
  </si>
  <si>
    <t>Deck Hassium Lite</t>
  </si>
  <si>
    <t>###</t>
  </si>
  <si>
    <t>1.45x</t>
  </si>
  <si>
    <t>31x24</t>
  </si>
  <si>
    <t>Corsair Raptor M40</t>
  </si>
  <si>
    <t>#61</t>
  </si>
  <si>
    <t>#488</t>
  </si>
  <si>
    <t>Apaxq M87</t>
  </si>
  <si>
    <t>none/desk</t>
  </si>
  <si>
    <t>#62</t>
  </si>
  <si>
    <t>#497</t>
  </si>
  <si>
    <t>Logitech G1</t>
  </si>
  <si>
    <t>Unknown</t>
  </si>
  <si>
    <t>Avago ADNS-S2020</t>
  </si>
  <si>
    <t>Leopold FC700R</t>
  </si>
  <si>
    <t>#63</t>
  </si>
  <si>
    <t>#500</t>
  </si>
  <si>
    <t>A4Tech Bloody V8</t>
  </si>
  <si>
    <t>A4Tech Headshot</t>
  </si>
  <si>
    <t>Genius KB-06x2</t>
  </si>
  <si>
    <t>#64</t>
  </si>
  <si>
    <t>#507</t>
  </si>
  <si>
    <t>550dpi</t>
  </si>
  <si>
    <t>Redragon Suzaku</t>
  </si>
  <si>
    <t>Korm Kernel TKL</t>
  </si>
  <si>
    <t>Outemu Red</t>
  </si>
  <si>
    <t>#65</t>
  </si>
  <si>
    <t>#513</t>
  </si>
  <si>
    <t>0.92x</t>
  </si>
  <si>
    <t>Rexus Kvlar</t>
  </si>
  <si>
    <t>#66</t>
  </si>
  <si>
    <t>#514</t>
  </si>
  <si>
    <t>Logitech G703</t>
  </si>
  <si>
    <t>Pixart PMW3366</t>
  </si>
  <si>
    <t>107g</t>
  </si>
  <si>
    <t>124mm</t>
  </si>
  <si>
    <t>68mm</t>
  </si>
  <si>
    <t>#67</t>
  </si>
  <si>
    <t>#529</t>
  </si>
  <si>
    <t>0.79x</t>
  </si>
  <si>
    <t>40x30</t>
  </si>
  <si>
    <t>Corsair K55</t>
  </si>
  <si>
    <t>#68</t>
  </si>
  <si>
    <t>#531</t>
  </si>
  <si>
    <t>Artisan Shidekai</t>
  </si>
  <si>
    <t>Kailh Box Blue</t>
  </si>
  <si>
    <t>#69</t>
  </si>
  <si>
    <t>#547</t>
  </si>
  <si>
    <t>2100dpi</t>
  </si>
  <si>
    <t>1x</t>
  </si>
  <si>
    <t>18x13</t>
  </si>
  <si>
    <t>Logitech G303</t>
  </si>
  <si>
    <t>Ducky Flipper</t>
  </si>
  <si>
    <t>#70</t>
  </si>
  <si>
    <t>#553</t>
  </si>
  <si>
    <t>43x33</t>
  </si>
  <si>
    <t>PECHAM 3mm Extended High Precise Large Gaming Mouse Pad XXXL</t>
  </si>
  <si>
    <t>Omron DFC-F-7N</t>
  </si>
  <si>
    <t>KBParadise V60 Type R Polestar</t>
  </si>
  <si>
    <t>#71</t>
  </si>
  <si>
    <t>#558</t>
  </si>
  <si>
    <t>0.96x</t>
  </si>
  <si>
    <t>42x31</t>
  </si>
  <si>
    <t>Steelseries Rival 300</t>
  </si>
  <si>
    <t>Razer Firefly</t>
  </si>
  <si>
    <t>#72</t>
  </si>
  <si>
    <t>#561</t>
  </si>
  <si>
    <t>HomeXin</t>
  </si>
  <si>
    <t>Logitech G413</t>
  </si>
  <si>
    <t>Romer-G</t>
  </si>
  <si>
    <t>#73</t>
  </si>
  <si>
    <t>#565</t>
  </si>
  <si>
    <t>Corsair Sabre RGB</t>
  </si>
  <si>
    <t>Glorious PC Master Race</t>
  </si>
  <si>
    <t>Avago ADNS-3988</t>
  </si>
  <si>
    <t>100g</t>
  </si>
  <si>
    <t>80mm</t>
  </si>
  <si>
    <t>Corsair K65 Lux</t>
  </si>
  <si>
    <t>#74</t>
  </si>
  <si>
    <t>#571</t>
  </si>
  <si>
    <t>Corsair MM300</t>
  </si>
  <si>
    <t>Steelseries Apex Pro</t>
  </si>
  <si>
    <t>Steelseries OmniPoint</t>
  </si>
  <si>
    <t>#75</t>
  </si>
  <si>
    <t>#572</t>
  </si>
  <si>
    <t>#76</t>
  </si>
  <si>
    <t>#625</t>
  </si>
  <si>
    <t>1536x864</t>
  </si>
  <si>
    <t>49x37</t>
  </si>
  <si>
    <t>Ozone Strike Pro</t>
  </si>
  <si>
    <t>#77</t>
  </si>
  <si>
    <t>#642</t>
  </si>
  <si>
    <t>0.84x</t>
  </si>
  <si>
    <t>1152x854</t>
  </si>
  <si>
    <t>Steelseries QcK Mini</t>
  </si>
  <si>
    <t>Keypad</t>
  </si>
  <si>
    <t>Some Type of Zealios</t>
  </si>
  <si>
    <t>#78</t>
  </si>
  <si>
    <t>#664</t>
  </si>
  <si>
    <t>#671</t>
  </si>
  <si>
    <t>Zowie FK1+</t>
  </si>
  <si>
    <t>Steelseries QcK XXL</t>
  </si>
  <si>
    <t>Avago ADNS-3310</t>
  </si>
  <si>
    <t>#80</t>
  </si>
  <si>
    <t>#698</t>
  </si>
  <si>
    <t>1.1x</t>
  </si>
  <si>
    <t>18x14</t>
  </si>
  <si>
    <t>Corsair M65 Pro</t>
  </si>
  <si>
    <t>Corsair MM200</t>
  </si>
  <si>
    <t>HK GK61 Custom</t>
  </si>
  <si>
    <t>NovelKeys x Kailh Cream</t>
  </si>
  <si>
    <t>#81</t>
  </si>
  <si>
    <t>#717</t>
  </si>
  <si>
    <t>1.02x</t>
  </si>
  <si>
    <t>36x27</t>
  </si>
  <si>
    <t>ANYZEN MP-A50</t>
  </si>
  <si>
    <t>#82</t>
  </si>
  <si>
    <t>#715</t>
  </si>
  <si>
    <t>91x69</t>
  </si>
  <si>
    <t>Foxbox</t>
  </si>
  <si>
    <t>Ducky YOTG</t>
  </si>
  <si>
    <t>#83</t>
  </si>
  <si>
    <t>#731</t>
  </si>
  <si>
    <t>54x40</t>
  </si>
  <si>
    <t>HyperX Kingston</t>
  </si>
  <si>
    <t>Corsair Gaming STRAFE</t>
  </si>
  <si>
    <t>#84</t>
  </si>
  <si>
    <t>#747</t>
  </si>
  <si>
    <t>#85</t>
  </si>
  <si>
    <t>#761</t>
  </si>
  <si>
    <t>0.89x</t>
  </si>
  <si>
    <t>51x39</t>
  </si>
  <si>
    <t>Glorious Heavy</t>
  </si>
  <si>
    <t>Anne Pro v1</t>
  </si>
  <si>
    <t>Gatereon Brown</t>
  </si>
  <si>
    <t>#86</t>
  </si>
  <si>
    <t>#766</t>
  </si>
  <si>
    <t>600dpi</t>
  </si>
  <si>
    <t>CM Storm Masterkeys Pro L</t>
  </si>
  <si>
    <t>#87</t>
  </si>
  <si>
    <t>#768</t>
  </si>
  <si>
    <t>#88</t>
  </si>
  <si>
    <t>#779</t>
  </si>
  <si>
    <t>#89</t>
  </si>
  <si>
    <t>#780</t>
  </si>
  <si>
    <t>#90</t>
  </si>
  <si>
    <t>#788</t>
  </si>
  <si>
    <t>#91</t>
  </si>
  <si>
    <t>#800</t>
  </si>
  <si>
    <t>Mouse Only</t>
  </si>
  <si>
    <t>0.8~1.0x</t>
  </si>
  <si>
    <t>46x34~57x43</t>
  </si>
  <si>
    <t>Roccat Kone Pure Owl-Eye</t>
  </si>
  <si>
    <t>Mionix Alioth</t>
  </si>
  <si>
    <t>REALFORCE 108UBK</t>
  </si>
  <si>
    <t>#839</t>
  </si>
  <si>
    <t>1.25x</t>
  </si>
  <si>
    <t>1280x1024</t>
  </si>
  <si>
    <t>Zet Edge</t>
  </si>
  <si>
    <t>#93</t>
  </si>
  <si>
    <t>#852</t>
  </si>
  <si>
    <t>0.71x</t>
  </si>
  <si>
    <t>34x26</t>
  </si>
  <si>
    <t>HyperX Alloy Elite</t>
  </si>
  <si>
    <t>#94</t>
  </si>
  <si>
    <t>#853</t>
  </si>
  <si>
    <t>#874</t>
  </si>
  <si>
    <t>Qwazar Red Shift</t>
  </si>
  <si>
    <t>#96</t>
  </si>
  <si>
    <t>#875</t>
  </si>
  <si>
    <t>#97</t>
  </si>
  <si>
    <t>#883</t>
  </si>
  <si>
    <t>1.03x</t>
  </si>
  <si>
    <t>Dream Machines DM Pad</t>
  </si>
  <si>
    <t>Glorious GMMK</t>
  </si>
  <si>
    <t>Gateron Red</t>
  </si>
  <si>
    <t>#98</t>
  </si>
  <si>
    <t>#901</t>
  </si>
  <si>
    <t>HyperX Alloy FPS</t>
  </si>
  <si>
    <t>#99</t>
  </si>
  <si>
    <t>#916</t>
  </si>
  <si>
    <t>Zowie S2 DIVINA</t>
  </si>
  <si>
    <t>Zowie P-SR</t>
  </si>
  <si>
    <t>Corsair K65</t>
  </si>
  <si>
    <t>#919</t>
  </si>
  <si>
    <t>1450dpi</t>
  </si>
  <si>
    <t>Logitech G640</t>
  </si>
  <si>
    <t>Razer Blackwidow</t>
  </si>
  <si>
    <t>#101</t>
  </si>
  <si>
    <t>#924</t>
  </si>
  <si>
    <t>Logitech M100</t>
  </si>
  <si>
    <t>PAW3526DB-FJY2</t>
  </si>
  <si>
    <t>Chiclet</t>
  </si>
  <si>
    <t>#102</t>
  </si>
  <si>
    <t>#921</t>
  </si>
  <si>
    <t>A4Tech Bloody B740</t>
  </si>
  <si>
    <t>LK</t>
  </si>
  <si>
    <t>#933</t>
  </si>
  <si>
    <t>0.8x</t>
  </si>
  <si>
    <t>57x43</t>
  </si>
  <si>
    <t>Zowie EC1-A</t>
  </si>
  <si>
    <t>A4Tech X7</t>
  </si>
  <si>
    <t>Fantech MK872</t>
  </si>
  <si>
    <t>Optical Blue</t>
  </si>
  <si>
    <t>#104</t>
  </si>
  <si>
    <t>#948</t>
  </si>
  <si>
    <t>Corsair K95 RGB</t>
  </si>
  <si>
    <t>#105</t>
  </si>
  <si>
    <t>#950</t>
  </si>
  <si>
    <t>Varmilo Stay Pangah</t>
  </si>
  <si>
    <t>Ducky One RGB</t>
  </si>
  <si>
    <t>#106</t>
  </si>
  <si>
    <t>#107</t>
  </si>
  <si>
    <t>#957</t>
  </si>
  <si>
    <t>#108</t>
  </si>
  <si>
    <t>#973</t>
  </si>
  <si>
    <t>#109</t>
  </si>
  <si>
    <t>#990</t>
  </si>
  <si>
    <t>Defender Black</t>
  </si>
  <si>
    <t>Ducky One 2 Mini</t>
  </si>
  <si>
    <t>#110</t>
  </si>
  <si>
    <t>#993</t>
  </si>
  <si>
    <t>Logitech G602</t>
  </si>
  <si>
    <t>Logitech G310</t>
  </si>
  <si>
    <t>#111</t>
  </si>
  <si>
    <t>#1010</t>
  </si>
  <si>
    <t>63x47</t>
  </si>
  <si>
    <t>Microsoft Classic Intellimouse</t>
  </si>
  <si>
    <t>Logitech G440t</t>
  </si>
  <si>
    <t>Topre Realforce</t>
  </si>
  <si>
    <t>Topre 45g</t>
  </si>
  <si>
    <t>#112</t>
  </si>
  <si>
    <t>#1024</t>
  </si>
  <si>
    <t>Logitech G302</t>
  </si>
  <si>
    <t>#113</t>
  </si>
  <si>
    <t>#1029</t>
  </si>
  <si>
    <t>Steelseries Rival</t>
  </si>
  <si>
    <t>Corsair K70 Lux RGB</t>
  </si>
  <si>
    <t>#114</t>
  </si>
  <si>
    <t>#1042</t>
  </si>
  <si>
    <t>Mionix Sargas</t>
  </si>
  <si>
    <t>CM Storm Quickfire TK Stealth</t>
  </si>
  <si>
    <t>#115</t>
  </si>
  <si>
    <t>#1044</t>
  </si>
  <si>
    <t>1.44x</t>
  </si>
  <si>
    <t>Roccat Taito Control</t>
  </si>
  <si>
    <t>Razer Blackwidow Chroma</t>
  </si>
  <si>
    <t>#116</t>
  </si>
  <si>
    <t>#1052</t>
  </si>
  <si>
    <t>#117</t>
  </si>
  <si>
    <t>#1070</t>
  </si>
  <si>
    <t>54x41</t>
  </si>
  <si>
    <t>Corsair K63</t>
  </si>
  <si>
    <t>#118</t>
  </si>
  <si>
    <t>#1103</t>
  </si>
  <si>
    <t>1.18x</t>
  </si>
  <si>
    <t>39x29</t>
  </si>
  <si>
    <t>#119</t>
  </si>
  <si>
    <t>#1105</t>
  </si>
  <si>
    <t>#120</t>
  </si>
  <si>
    <t>#1110</t>
  </si>
  <si>
    <t>Logitech G610</t>
  </si>
  <si>
    <t>#121</t>
  </si>
  <si>
    <t>#1120</t>
  </si>
  <si>
    <t>Xtrfy XGP1 Large</t>
  </si>
  <si>
    <t>Corsair Vengeance K70 or CM Storm Masterkeys Pro S</t>
  </si>
  <si>
    <t>Red or Brown</t>
  </si>
  <si>
    <t>#122</t>
  </si>
  <si>
    <t>#1137</t>
  </si>
  <si>
    <t>1.41x</t>
  </si>
  <si>
    <t>OEM mouse</t>
  </si>
  <si>
    <t>CM Storm Quickfire XT</t>
  </si>
  <si>
    <t>#123</t>
  </si>
  <si>
    <t>#1177</t>
  </si>
  <si>
    <t>Steelseries QcK Heavy</t>
  </si>
  <si>
    <t>#124</t>
  </si>
  <si>
    <t>#1179</t>
  </si>
  <si>
    <t>Mouse/KB (Left)</t>
  </si>
  <si>
    <t>Dream Machines DM1 FPS</t>
  </si>
  <si>
    <t>Pixart PMW3389</t>
  </si>
  <si>
    <t>77g</t>
  </si>
  <si>
    <t>CM Masterkeys S</t>
  </si>
  <si>
    <t>#125</t>
  </si>
  <si>
    <t>#1187</t>
  </si>
  <si>
    <t xml:space="preserve">  1000dpi</t>
  </si>
  <si>
    <t>Corsair Harpoon RGB</t>
  </si>
  <si>
    <t>Noganet Stormer st-g6</t>
  </si>
  <si>
    <t>Pixart PMW3320</t>
  </si>
  <si>
    <t>#126</t>
  </si>
  <si>
    <t>#1191</t>
  </si>
  <si>
    <t>New Link MO306</t>
  </si>
  <si>
    <t>Microsoft Digital Media Pro</t>
  </si>
  <si>
    <t>#127</t>
  </si>
  <si>
    <t>#1201</t>
  </si>
  <si>
    <t>#128</t>
  </si>
  <si>
    <t>#1221</t>
  </si>
  <si>
    <t>Roccat Kanga</t>
  </si>
  <si>
    <t>May 2019</t>
  </si>
  <si>
    <t xml:space="preserve">   </t>
  </si>
  <si>
    <t>#129</t>
  </si>
  <si>
    <t>#1244</t>
  </si>
  <si>
    <t>0.85x</t>
  </si>
  <si>
    <t>Logitech G403 Prodigy</t>
  </si>
  <si>
    <t>Ducky Shine 5</t>
  </si>
  <si>
    <t>#130</t>
  </si>
  <si>
    <t>#1260</t>
  </si>
  <si>
    <t>10/11 Off</t>
  </si>
  <si>
    <t>#131</t>
  </si>
  <si>
    <t>#132</t>
  </si>
  <si>
    <t>#1266</t>
  </si>
  <si>
    <t>1300dpi</t>
  </si>
  <si>
    <t>0.58x</t>
  </si>
  <si>
    <t>49x36</t>
  </si>
  <si>
    <t>A4Tech XL-760H</t>
  </si>
  <si>
    <t>Avago ADNS-6010</t>
  </si>
  <si>
    <t>Ozone Strike Battle</t>
  </si>
  <si>
    <t>#133</t>
  </si>
  <si>
    <t>#1268</t>
  </si>
  <si>
    <t>Azza MOD935U</t>
  </si>
  <si>
    <t>Azza KME381U</t>
  </si>
  <si>
    <t>#134</t>
  </si>
  <si>
    <t>#1272</t>
  </si>
  <si>
    <t>87g</t>
  </si>
  <si>
    <t>123mm</t>
  </si>
  <si>
    <t>33mm</t>
  </si>
  <si>
    <t>CM Masterkeys Pro S</t>
  </si>
  <si>
    <t>#135</t>
  </si>
  <si>
    <t>#1280</t>
  </si>
  <si>
    <t>ANNE PRO 2</t>
  </si>
  <si>
    <t>Gateron Brown</t>
  </si>
  <si>
    <t>#136</t>
  </si>
  <si>
    <t>#1296</t>
  </si>
  <si>
    <t>1920x1200</t>
  </si>
  <si>
    <t>31x23</t>
  </si>
  <si>
    <t>Razer DeathAdder 3G</t>
  </si>
  <si>
    <t>Avago ADNS-3668</t>
  </si>
  <si>
    <t>#1317</t>
  </si>
  <si>
    <t>Deck Hassium</t>
  </si>
  <si>
    <t>#138</t>
  </si>
  <si>
    <t>#1319</t>
  </si>
  <si>
    <t>#1329</t>
  </si>
  <si>
    <t>DM Pad L</t>
  </si>
  <si>
    <t>Pixart PMW3330</t>
  </si>
  <si>
    <t>114.5mm</t>
  </si>
  <si>
    <t>Vortex KBT Pure 60%</t>
  </si>
  <si>
    <t>Red/Black/Clear/Brown</t>
  </si>
  <si>
    <t>#140</t>
  </si>
  <si>
    <t>#1341</t>
  </si>
  <si>
    <t>1.28x</t>
  </si>
  <si>
    <t>#141</t>
  </si>
  <si>
    <t>#1369</t>
  </si>
  <si>
    <t>Razer Goliathus Mobile</t>
  </si>
  <si>
    <t>#142</t>
  </si>
  <si>
    <t>#1373</t>
  </si>
  <si>
    <t>#143</t>
  </si>
  <si>
    <t>#1380</t>
  </si>
  <si>
    <t>#1388</t>
  </si>
  <si>
    <t>880dpi</t>
  </si>
  <si>
    <t>Logitech G240</t>
  </si>
  <si>
    <t>#145</t>
  </si>
  <si>
    <t>#1396</t>
  </si>
  <si>
    <t>Logitech G710+ (no rings)</t>
  </si>
  <si>
    <t>#146</t>
  </si>
  <si>
    <t>#1398</t>
  </si>
  <si>
    <t>iBuyPower Mouse Pad</t>
  </si>
  <si>
    <t>iBuyPower MEK Keyboard</t>
  </si>
  <si>
    <t>TTC Red</t>
  </si>
  <si>
    <t>#147</t>
  </si>
  <si>
    <t>#1399</t>
  </si>
  <si>
    <t>500dpi</t>
  </si>
  <si>
    <t>2.3x</t>
  </si>
  <si>
    <t>Razer DeathAdder 2013</t>
  </si>
  <si>
    <t>E-blue Mazer MazFace</t>
  </si>
  <si>
    <t>Deck CBL-108</t>
  </si>
  <si>
    <t>#148</t>
  </si>
  <si>
    <t>#1440</t>
  </si>
  <si>
    <t>Steelseries Rival 600</t>
  </si>
  <si>
    <t>Tecware Haste</t>
  </si>
  <si>
    <t>Steelseries TrueMove 3+</t>
  </si>
  <si>
    <t>112g</t>
  </si>
  <si>
    <t>131mm</t>
  </si>
  <si>
    <t>Ducky One TKL</t>
  </si>
  <si>
    <t>#149</t>
  </si>
  <si>
    <t>#1470</t>
  </si>
  <si>
    <t>0.98x</t>
  </si>
  <si>
    <t>37x28</t>
  </si>
  <si>
    <t>Roccat Kova</t>
  </si>
  <si>
    <t>Avago ADNS-3080</t>
  </si>
  <si>
    <t>BitTrade BFKB113PBK</t>
  </si>
  <si>
    <t>#150</t>
  </si>
  <si>
    <t>#1488</t>
  </si>
  <si>
    <t>1100dpi</t>
  </si>
  <si>
    <t>#151</t>
  </si>
  <si>
    <t>#1506</t>
  </si>
  <si>
    <t>DBPOWER DB-A8</t>
  </si>
  <si>
    <t>Mechanical</t>
  </si>
  <si>
    <t>#152</t>
  </si>
  <si>
    <t>#1520</t>
  </si>
  <si>
    <t>0.9x</t>
  </si>
  <si>
    <t>#153</t>
  </si>
  <si>
    <t>#1532</t>
  </si>
  <si>
    <t>#154</t>
  </si>
  <si>
    <t>#1541</t>
  </si>
  <si>
    <t>Corsair</t>
  </si>
  <si>
    <t>#155</t>
  </si>
  <si>
    <t>#1548</t>
  </si>
  <si>
    <t>#156</t>
  </si>
  <si>
    <t>#1576</t>
  </si>
  <si>
    <t>Razer Deathadder</t>
  </si>
  <si>
    <t>Corsair K70 LUX</t>
  </si>
  <si>
    <t>#157</t>
  </si>
  <si>
    <t>#1607</t>
  </si>
  <si>
    <t>Razer Blackwidow X Tournament Edition</t>
  </si>
  <si>
    <t>#158</t>
  </si>
  <si>
    <t>1920x900</t>
  </si>
  <si>
    <t>76x57</t>
  </si>
  <si>
    <t>#159</t>
  </si>
  <si>
    <t>#1617</t>
  </si>
  <si>
    <t>Corsair K65 Vengeance</t>
  </si>
  <si>
    <t>#160</t>
  </si>
  <si>
    <t>#1622</t>
  </si>
  <si>
    <t>#161</t>
  </si>
  <si>
    <t>#1676</t>
  </si>
  <si>
    <t>?</t>
  </si>
  <si>
    <t>Roccat Taito</t>
  </si>
  <si>
    <t>#162</t>
  </si>
  <si>
    <t>41x30</t>
  </si>
  <si>
    <t>Razer Gigantus</t>
  </si>
  <si>
    <t>CM Masterkeys Pro M</t>
  </si>
  <si>
    <t>#163</t>
  </si>
  <si>
    <t>Roccat Kone Pure Military</t>
  </si>
  <si>
    <t>Roccat Sense</t>
  </si>
  <si>
    <t>Pixart PMW-3310H</t>
  </si>
  <si>
    <t>Tesoro Durandal Ultimate G1NL eSport Edition</t>
  </si>
  <si>
    <t>Red/Black</t>
  </si>
  <si>
    <t>#164</t>
  </si>
  <si>
    <t>#1716</t>
  </si>
  <si>
    <t>0.76x</t>
  </si>
  <si>
    <t>Zowie Gear P-SR</t>
  </si>
  <si>
    <t>#165</t>
  </si>
  <si>
    <t>#1732</t>
  </si>
  <si>
    <t>#166</t>
  </si>
  <si>
    <t>#1796</t>
  </si>
  <si>
    <t>1250dpi</t>
  </si>
  <si>
    <t>CM Storm Quickfire Ultimate</t>
  </si>
  <si>
    <t>#167</t>
  </si>
  <si>
    <t>#1807</t>
  </si>
  <si>
    <t>Razer BlackWidow Chroma</t>
  </si>
  <si>
    <t>#168</t>
  </si>
  <si>
    <t>#1811</t>
  </si>
  <si>
    <t>#169</t>
  </si>
  <si>
    <t>#1817</t>
  </si>
  <si>
    <t>#170</t>
  </si>
  <si>
    <t>#1819</t>
  </si>
  <si>
    <t>1500dpi</t>
  </si>
  <si>
    <t>4/11 Off</t>
  </si>
  <si>
    <t>Titanwolf</t>
  </si>
  <si>
    <t>Logitech G910</t>
  </si>
  <si>
    <t>Romer-G Tactile</t>
  </si>
  <si>
    <t>#171</t>
  </si>
  <si>
    <t>#1823</t>
  </si>
  <si>
    <t>#172</t>
  </si>
  <si>
    <t>#1825</t>
  </si>
  <si>
    <t>#173</t>
  </si>
  <si>
    <t>#1833</t>
  </si>
  <si>
    <t>#174</t>
  </si>
  <si>
    <t>#1834</t>
  </si>
  <si>
    <t>100dpi</t>
  </si>
  <si>
    <t>0.69x</t>
  </si>
  <si>
    <t>530x398</t>
  </si>
  <si>
    <t>Razer Viper Ultimate</t>
  </si>
  <si>
    <t>Qisan Mousepad</t>
  </si>
  <si>
    <t>Razer Focus+</t>
  </si>
  <si>
    <t>74g</t>
  </si>
  <si>
    <t>58mm</t>
  </si>
  <si>
    <t>Razer Optical Switch</t>
  </si>
  <si>
    <t>Ducky Shine Sakura Miya Pro</t>
  </si>
  <si>
    <t>Black</t>
  </si>
  <si>
    <t>#175</t>
  </si>
  <si>
    <t>#1837</t>
  </si>
  <si>
    <t>Razer Abyssus</t>
  </si>
  <si>
    <t>Ducky Zero DK2108</t>
  </si>
  <si>
    <t>#176</t>
  </si>
  <si>
    <t>#1840</t>
  </si>
  <si>
    <t>#177</t>
  </si>
  <si>
    <t>#1850</t>
  </si>
  <si>
    <t>Lioncast LM20</t>
  </si>
  <si>
    <t>Perixx DX-2000XXL</t>
  </si>
  <si>
    <t>Avago ADNS-9800</t>
  </si>
  <si>
    <t>#1860</t>
  </si>
  <si>
    <t>#179</t>
  </si>
  <si>
    <t>#1866</t>
  </si>
  <si>
    <t>1.23x</t>
  </si>
  <si>
    <t>21x16</t>
  </si>
  <si>
    <t>Logitech M105</t>
  </si>
  <si>
    <t>Logitech G440</t>
  </si>
  <si>
    <t>Compaq CQ35</t>
  </si>
  <si>
    <t>#180</t>
  </si>
  <si>
    <t>#1879</t>
  </si>
  <si>
    <t>0.5x</t>
  </si>
  <si>
    <t>Genesis Krypton 400</t>
  </si>
  <si>
    <t>GMB Gaming MP-GAME</t>
  </si>
  <si>
    <t>Whiteshark Spartan GK-1925</t>
  </si>
  <si>
    <t>Outemu Blue</t>
  </si>
  <si>
    <t>#181</t>
  </si>
  <si>
    <t>#1886</t>
  </si>
  <si>
    <t>#182</t>
  </si>
  <si>
    <t>#1915</t>
  </si>
  <si>
    <t>1600~2000dpi</t>
  </si>
  <si>
    <t>18x14~23x17</t>
  </si>
  <si>
    <t>Azio MGK1-K</t>
  </si>
  <si>
    <t>#183</t>
  </si>
  <si>
    <t>#1929</t>
  </si>
  <si>
    <t>Corsair Harpoon</t>
  </si>
  <si>
    <t>Corsair MM800</t>
  </si>
  <si>
    <t>#184</t>
  </si>
  <si>
    <t>#1959</t>
  </si>
  <si>
    <t>1600x1000</t>
  </si>
  <si>
    <t>Corsair RGB Lux</t>
  </si>
  <si>
    <t>#185</t>
  </si>
  <si>
    <t>#1962</t>
  </si>
  <si>
    <t>Logictech G Pro</t>
  </si>
  <si>
    <t>Corsair Strife MK2</t>
  </si>
  <si>
    <t>#186</t>
  </si>
  <si>
    <t>#1965</t>
  </si>
  <si>
    <t>183x137</t>
  </si>
  <si>
    <t>Glorious Model O-</t>
  </si>
  <si>
    <t>KBD75</t>
  </si>
  <si>
    <t>#187</t>
  </si>
  <si>
    <t>#1968</t>
  </si>
  <si>
    <t>650dpi</t>
  </si>
  <si>
    <t>38x28</t>
  </si>
  <si>
    <t>Razer Viper</t>
  </si>
  <si>
    <t>ikbc cd108</t>
  </si>
  <si>
    <t>#188</t>
  </si>
  <si>
    <t>#1972</t>
  </si>
  <si>
    <t>#189</t>
  </si>
  <si>
    <t>#2019</t>
  </si>
  <si>
    <t>#190</t>
  </si>
  <si>
    <t>#2027</t>
  </si>
  <si>
    <t>Zowie FK1</t>
  </si>
  <si>
    <t>#2065</t>
  </si>
  <si>
    <t>32x27</t>
  </si>
  <si>
    <t>Mad Dog GMP301</t>
  </si>
  <si>
    <t>Logitech G512 Carbon</t>
  </si>
  <si>
    <t>GX Red</t>
  </si>
  <si>
    <t>#192</t>
  </si>
  <si>
    <t>#2083</t>
  </si>
  <si>
    <t>1.32x</t>
  </si>
  <si>
    <t>Razer Deathadder Elite</t>
  </si>
  <si>
    <t>Reflex Lab Large</t>
  </si>
  <si>
    <t>Ducky One Two</t>
  </si>
  <si>
    <t>#193</t>
  </si>
  <si>
    <t>#2101</t>
  </si>
  <si>
    <t>Steelseries Rival 700</t>
  </si>
  <si>
    <t>Razer Blackwidow Ultimate</t>
  </si>
  <si>
    <t>#194</t>
  </si>
  <si>
    <t>#195</t>
  </si>
  <si>
    <t>#2136</t>
  </si>
  <si>
    <t>Minox Venator</t>
  </si>
  <si>
    <t>Coolermaster Masterkeys L</t>
  </si>
  <si>
    <t>#196</t>
  </si>
  <si>
    <t>#2145</t>
  </si>
  <si>
    <t>52x39?</t>
  </si>
  <si>
    <t>Steelseries Kinzu v3</t>
  </si>
  <si>
    <t>Avago ADNS-3050</t>
  </si>
  <si>
    <t>#197</t>
  </si>
  <si>
    <t>#2155</t>
  </si>
  <si>
    <t>Razer Naga Chroma</t>
  </si>
  <si>
    <t>Razer Goliathus</t>
  </si>
  <si>
    <t>Logitech G213</t>
  </si>
  <si>
    <t>#2156</t>
  </si>
  <si>
    <t>FinalMouse Air58</t>
  </si>
  <si>
    <t>Glorious PC Gaming Race</t>
  </si>
  <si>
    <t>#199</t>
  </si>
  <si>
    <t>#2211</t>
  </si>
  <si>
    <t>#200</t>
  </si>
  <si>
    <t>#2219</t>
  </si>
  <si>
    <t>#201</t>
  </si>
  <si>
    <t>#2223</t>
  </si>
  <si>
    <t>1350dpi</t>
  </si>
  <si>
    <t>#202</t>
  </si>
  <si>
    <t>#2240</t>
  </si>
  <si>
    <t xml:space="preserve"> 1.0x</t>
  </si>
  <si>
    <t>#203</t>
  </si>
  <si>
    <t>#2252</t>
  </si>
  <si>
    <t>1.15x</t>
  </si>
  <si>
    <t>Logitech G300S</t>
  </si>
  <si>
    <t>Avago ADNS-3055</t>
  </si>
  <si>
    <t>114mm</t>
  </si>
  <si>
    <t>71mm</t>
  </si>
  <si>
    <t>#204</t>
  </si>
  <si>
    <t>#2258</t>
  </si>
  <si>
    <t>108x81</t>
  </si>
  <si>
    <t>#205</t>
  </si>
  <si>
    <t>#2262</t>
  </si>
  <si>
    <t>3/11 Off</t>
  </si>
  <si>
    <t>Steelseries QcK (Heavy?)</t>
  </si>
  <si>
    <t>#206</t>
  </si>
  <si>
    <t>#2273</t>
  </si>
  <si>
    <t>FunOrange osu! Keypad</t>
  </si>
  <si>
    <t>#207</t>
  </si>
  <si>
    <t>#2287</t>
  </si>
  <si>
    <t>Logitech ???/Razer Mamba</t>
  </si>
  <si>
    <t>'Pokemon thing from 1999''</t>
  </si>
  <si>
    <t>#208</t>
  </si>
  <si>
    <t>#2302</t>
  </si>
  <si>
    <t>125Hz</t>
  </si>
  <si>
    <t>#209</t>
  </si>
  <si>
    <t>#2404</t>
  </si>
  <si>
    <t>Artisan Hien Mid</t>
  </si>
  <si>
    <t>#210</t>
  </si>
  <si>
    <t>#2412</t>
  </si>
  <si>
    <t>CrazyBoard</t>
  </si>
  <si>
    <t>#2440</t>
  </si>
  <si>
    <t>HyperX Pulsefire Surge</t>
  </si>
  <si>
    <t>HyperX Fury S Pro</t>
  </si>
  <si>
    <t>120mm</t>
  </si>
  <si>
    <t>41mm</t>
  </si>
  <si>
    <t>#212</t>
  </si>
  <si>
    <t>#2459</t>
  </si>
  <si>
    <t>Corsair MP510</t>
  </si>
  <si>
    <t>GK61 Kit</t>
  </si>
  <si>
    <t>EV-02</t>
  </si>
  <si>
    <t>#213</t>
  </si>
  <si>
    <t>#2476</t>
  </si>
  <si>
    <t>Tecware Phantom</t>
  </si>
  <si>
    <t>#214</t>
  </si>
  <si>
    <t>#2480</t>
  </si>
  <si>
    <t>#215</t>
  </si>
  <si>
    <t>#2516</t>
  </si>
  <si>
    <t>#216</t>
  </si>
  <si>
    <t>#2522</t>
  </si>
  <si>
    <t>#217</t>
  </si>
  <si>
    <t>#2535</t>
  </si>
  <si>
    <t>#218</t>
  </si>
  <si>
    <t>#2541</t>
  </si>
  <si>
    <t>#219</t>
  </si>
  <si>
    <t>#2559</t>
  </si>
  <si>
    <t>#220</t>
  </si>
  <si>
    <t>#2562</t>
  </si>
  <si>
    <t>5000dpi</t>
  </si>
  <si>
    <t>DM2 Comfy</t>
  </si>
  <si>
    <t>CM Masterkeys Pro</t>
  </si>
  <si>
    <t>White</t>
  </si>
  <si>
    <t>#221</t>
  </si>
  <si>
    <t>#2582</t>
  </si>
  <si>
    <t>#222</t>
  </si>
  <si>
    <t>#2590</t>
  </si>
  <si>
    <t>Razer Ornata Chroma</t>
  </si>
  <si>
    <t>Razer Mecha-Membrane</t>
  </si>
  <si>
    <t>#223</t>
  </si>
  <si>
    <t>#2653</t>
  </si>
  <si>
    <t>#224</t>
  </si>
  <si>
    <t>#2674</t>
  </si>
  <si>
    <t>Leopold FC210TP</t>
  </si>
  <si>
    <t>#225</t>
  </si>
  <si>
    <t>#2784</t>
  </si>
  <si>
    <t>#226</t>
  </si>
  <si>
    <t>#2790</t>
  </si>
  <si>
    <t>Sharkoon 1337 XL</t>
  </si>
  <si>
    <t>#227</t>
  </si>
  <si>
    <t>#2792</t>
  </si>
  <si>
    <t>Corasir Harpoon RGB</t>
  </si>
  <si>
    <t>#228</t>
  </si>
  <si>
    <t>#2794</t>
  </si>
  <si>
    <t>Zowie G-SR</t>
  </si>
  <si>
    <t>Qpad Mk-50</t>
  </si>
  <si>
    <t>#229</t>
  </si>
  <si>
    <t>#2796</t>
  </si>
  <si>
    <t>1.2x</t>
  </si>
  <si>
    <t>34x25</t>
  </si>
  <si>
    <t>CM Storm CK530</t>
  </si>
  <si>
    <t>#230</t>
  </si>
  <si>
    <t>#231</t>
  </si>
  <si>
    <t>#2852</t>
  </si>
  <si>
    <t>300dpi</t>
  </si>
  <si>
    <t>1.05x</t>
  </si>
  <si>
    <t>116x87</t>
  </si>
  <si>
    <t>Razer Goliathus Control Gravity</t>
  </si>
  <si>
    <t>#232</t>
  </si>
  <si>
    <t>#2880</t>
  </si>
  <si>
    <t>Steelseries ?</t>
  </si>
  <si>
    <t>Green</t>
  </si>
  <si>
    <t>#233</t>
  </si>
  <si>
    <t>#2889</t>
  </si>
  <si>
    <t>#234</t>
  </si>
  <si>
    <t>#2914</t>
  </si>
  <si>
    <t>1600x1240</t>
  </si>
  <si>
    <t>13x10</t>
  </si>
  <si>
    <t>Steelseries Kinzu v2 Pro</t>
  </si>
  <si>
    <t>Artisan Hien Soft</t>
  </si>
  <si>
    <t>Pixart PAW3305DK</t>
  </si>
  <si>
    <t>Logicool (Logitech) K740</t>
  </si>
  <si>
    <t>#235</t>
  </si>
  <si>
    <t>#2924</t>
  </si>
  <si>
    <t>#236</t>
  </si>
  <si>
    <t>#2935</t>
  </si>
  <si>
    <t>A4Tech X7 XL-747H</t>
  </si>
  <si>
    <t>125mm</t>
  </si>
  <si>
    <t>72mm</t>
  </si>
  <si>
    <t>#237</t>
  </si>
  <si>
    <t>#2959</t>
  </si>
  <si>
    <t>#238</t>
  </si>
  <si>
    <t>#2962</t>
  </si>
  <si>
    <t>0.48x</t>
  </si>
  <si>
    <t>64x48</t>
  </si>
  <si>
    <t>#239</t>
  </si>
  <si>
    <t>#2976</t>
  </si>
  <si>
    <t>#240</t>
  </si>
  <si>
    <t>#2980</t>
  </si>
  <si>
    <t>0.99x</t>
  </si>
  <si>
    <t>Razer Mamba Tournament Edition</t>
  </si>
  <si>
    <t>Phillips PLN2033</t>
  </si>
  <si>
    <t>133g</t>
  </si>
  <si>
    <t>42.5mm</t>
  </si>
  <si>
    <t>#241</t>
  </si>
  <si>
    <t>#2998</t>
  </si>
  <si>
    <t>#242</t>
  </si>
  <si>
    <t>#3045</t>
  </si>
  <si>
    <t>#243</t>
  </si>
  <si>
    <t>#3048</t>
  </si>
  <si>
    <t>Trust Keyboard</t>
  </si>
  <si>
    <t>#244</t>
  </si>
  <si>
    <t>#3052</t>
  </si>
  <si>
    <t>#3100</t>
  </si>
  <si>
    <t>1.72x</t>
  </si>
  <si>
    <t>Steelseries Rival 110</t>
  </si>
  <si>
    <t>TRUST GXT 754</t>
  </si>
  <si>
    <t>Steelseries TrueMove1</t>
  </si>
  <si>
    <t>121mm</t>
  </si>
  <si>
    <t>#246</t>
  </si>
  <si>
    <t>#3102</t>
  </si>
  <si>
    <t>James Donkey 112</t>
  </si>
  <si>
    <t>Xecret</t>
  </si>
  <si>
    <t>Pixart PAN3509</t>
  </si>
  <si>
    <t>123.5mm</t>
  </si>
  <si>
    <t>38.5mm</t>
  </si>
  <si>
    <t>Abko Hacker k300</t>
  </si>
  <si>
    <t>#247</t>
  </si>
  <si>
    <t>#3113</t>
  </si>
  <si>
    <t>Anne Pro 2</t>
  </si>
  <si>
    <t>#248</t>
  </si>
  <si>
    <t>#3132</t>
  </si>
  <si>
    <t>CM Swift RX</t>
  </si>
  <si>
    <t>#249</t>
  </si>
  <si>
    <t>#3152</t>
  </si>
  <si>
    <t>Corsair K70 RapidFire</t>
  </si>
  <si>
    <t>#250</t>
  </si>
  <si>
    <t>#3190</t>
  </si>
  <si>
    <t>6/11 Off?</t>
  </si>
  <si>
    <t>26x20?</t>
  </si>
  <si>
    <t>#3198</t>
  </si>
  <si>
    <t>1360dpi</t>
  </si>
  <si>
    <t>Logitech G810</t>
  </si>
  <si>
    <t>#252</t>
  </si>
  <si>
    <t>#3214</t>
  </si>
  <si>
    <t>6/11 On?</t>
  </si>
  <si>
    <t>Steelseries QcK +</t>
  </si>
  <si>
    <t>Qpad MK-50</t>
  </si>
  <si>
    <t>#253</t>
  </si>
  <si>
    <t>#3212</t>
  </si>
  <si>
    <t>#254</t>
  </si>
  <si>
    <t>#3235</t>
  </si>
  <si>
    <t>1.0x~1.05x</t>
  </si>
  <si>
    <t>43x33~46x34</t>
  </si>
  <si>
    <t>Ducky Secret</t>
  </si>
  <si>
    <t>Pixart PMW3310DH</t>
  </si>
  <si>
    <t>Omron D2F-01F</t>
  </si>
  <si>
    <t>Corsair Strafe RGB</t>
  </si>
  <si>
    <t>#3250</t>
  </si>
  <si>
    <t>#256</t>
  </si>
  <si>
    <t>#3265</t>
  </si>
  <si>
    <t>1.86x</t>
  </si>
  <si>
    <t>Turtle Beach Impact 600</t>
  </si>
  <si>
    <t>#257</t>
  </si>
  <si>
    <t>#3282</t>
  </si>
  <si>
    <t>CoolerMaster MM710</t>
  </si>
  <si>
    <t>53g</t>
  </si>
  <si>
    <t>#258</t>
  </si>
  <si>
    <t>#3295</t>
  </si>
  <si>
    <t>Qpad MK-85</t>
  </si>
  <si>
    <t>#259</t>
  </si>
  <si>
    <t>#3313</t>
  </si>
  <si>
    <t>#260</t>
  </si>
  <si>
    <t>#3318</t>
  </si>
  <si>
    <t>1176x664</t>
  </si>
  <si>
    <t>Logitech G Pro HERO</t>
  </si>
  <si>
    <t>#261</t>
  </si>
  <si>
    <t>#3342</t>
  </si>
  <si>
    <t>Genius KB-220</t>
  </si>
  <si>
    <t>#262</t>
  </si>
  <si>
    <t>#3363</t>
  </si>
  <si>
    <t>#263</t>
  </si>
  <si>
    <t>#3403</t>
  </si>
  <si>
    <t>#264</t>
  </si>
  <si>
    <t>#3417</t>
  </si>
  <si>
    <t>#3474</t>
  </si>
  <si>
    <t>#3476</t>
  </si>
  <si>
    <t>#267</t>
  </si>
  <si>
    <t>#3477</t>
  </si>
  <si>
    <t>0.78x</t>
  </si>
  <si>
    <t>Steelseries QcK Prism</t>
  </si>
  <si>
    <t>Varmilo VA108M</t>
  </si>
  <si>
    <t>#3513</t>
  </si>
  <si>
    <t>Steelseries DeX</t>
  </si>
  <si>
    <t>Topre Realforce 91UBK</t>
  </si>
  <si>
    <t>Topre</t>
  </si>
  <si>
    <t>#3519</t>
  </si>
  <si>
    <t>Roccat Ryos MK Pro</t>
  </si>
  <si>
    <t>#270</t>
  </si>
  <si>
    <t>#3577</t>
  </si>
  <si>
    <t>0.75x</t>
  </si>
  <si>
    <t>Zowie EC2-B</t>
  </si>
  <si>
    <t>Zowie G-SR SE</t>
  </si>
  <si>
    <t>#271</t>
  </si>
  <si>
    <t>#3588</t>
  </si>
  <si>
    <t>5/11 On</t>
  </si>
  <si>
    <t>PcYes Control</t>
  </si>
  <si>
    <t>#272</t>
  </si>
  <si>
    <t>#3591</t>
  </si>
  <si>
    <t>EDGE series</t>
  </si>
  <si>
    <t>Logitech G105</t>
  </si>
  <si>
    <t>#273</t>
  </si>
  <si>
    <t>#3589</t>
  </si>
  <si>
    <t>1.01x~1.05x</t>
  </si>
  <si>
    <t>Razer ?</t>
  </si>
  <si>
    <t>#274</t>
  </si>
  <si>
    <t>#3601</t>
  </si>
  <si>
    <t>#275</t>
  </si>
  <si>
    <t>#3669</t>
  </si>
  <si>
    <t>Bloody V7</t>
  </si>
  <si>
    <t>#276</t>
  </si>
  <si>
    <t>#277</t>
  </si>
  <si>
    <t>#3694</t>
  </si>
  <si>
    <t>Arrogant Bastard</t>
  </si>
  <si>
    <t>#278</t>
  </si>
  <si>
    <t>#3704</t>
  </si>
  <si>
    <t>1.04x</t>
  </si>
  <si>
    <t>59x44</t>
  </si>
  <si>
    <t>#279</t>
  </si>
  <si>
    <t>#3716</t>
  </si>
  <si>
    <t>#280</t>
  </si>
  <si>
    <t>1.75x</t>
  </si>
  <si>
    <t>Cosy Ghost Clon M1162G</t>
  </si>
  <si>
    <t>#281</t>
  </si>
  <si>
    <t>#3775</t>
  </si>
  <si>
    <t>#3818</t>
  </si>
  <si>
    <t>#283</t>
  </si>
  <si>
    <t>#3842</t>
  </si>
  <si>
    <t>Winkeyless PCB</t>
  </si>
  <si>
    <t>#284</t>
  </si>
  <si>
    <t>#3881</t>
  </si>
  <si>
    <t>#285</t>
  </si>
  <si>
    <t>#3931</t>
  </si>
  <si>
    <t>BlackWeb Mousepad</t>
  </si>
  <si>
    <t>Massdrop ALT</t>
  </si>
  <si>
    <t>Halo Trues</t>
  </si>
  <si>
    <t>#286</t>
  </si>
  <si>
    <t>#3951</t>
  </si>
  <si>
    <t>Mad Catz R.A.T.4</t>
  </si>
  <si>
    <t>Mad Catz G.L.I.D.E.3</t>
  </si>
  <si>
    <t>TOMOKO Mechanical</t>
  </si>
  <si>
    <t>#287</t>
  </si>
  <si>
    <t>#4005</t>
  </si>
  <si>
    <t>#288</t>
  </si>
  <si>
    <t>#4039</t>
  </si>
  <si>
    <t>Steelseries QcK Edge</t>
  </si>
  <si>
    <t>SPC Gear GK530</t>
  </si>
  <si>
    <t>#289</t>
  </si>
  <si>
    <t>#4042</t>
  </si>
  <si>
    <t>4000dpi</t>
  </si>
  <si>
    <t>#290</t>
  </si>
  <si>
    <t>#4058</t>
  </si>
  <si>
    <t>#291</t>
  </si>
  <si>
    <t>#4060</t>
  </si>
  <si>
    <t>55x42</t>
  </si>
  <si>
    <t>#292</t>
  </si>
  <si>
    <t>#4066</t>
  </si>
  <si>
    <t>58x43</t>
  </si>
  <si>
    <t>Zowie EC1 eVo CL</t>
  </si>
  <si>
    <t>Puretrak Stealth</t>
  </si>
  <si>
    <t>#293</t>
  </si>
  <si>
    <t>#4075</t>
  </si>
  <si>
    <t>Fellowes</t>
  </si>
  <si>
    <t>Razer Blackwidow Ultimate 2014</t>
  </si>
  <si>
    <t>#294</t>
  </si>
  <si>
    <t>#4082</t>
  </si>
  <si>
    <t>Logitech G903</t>
  </si>
  <si>
    <t>Cooler Master MP510</t>
  </si>
  <si>
    <t>Hero 16k</t>
  </si>
  <si>
    <t>C³ Tangerines</t>
  </si>
  <si>
    <t>#295</t>
  </si>
  <si>
    <t>#4096</t>
  </si>
  <si>
    <t>1280x800</t>
  </si>
  <si>
    <t>Toad Rider Playmat</t>
  </si>
  <si>
    <t>#296</t>
  </si>
  <si>
    <t>#4119</t>
  </si>
  <si>
    <t>1.84x</t>
  </si>
  <si>
    <t>Artisan Raiden Mid</t>
  </si>
  <si>
    <t>Votrex Race 3</t>
  </si>
  <si>
    <t>#298</t>
  </si>
  <si>
    <t>#4161</t>
  </si>
  <si>
    <t>Cooler Master MM710</t>
  </si>
  <si>
    <t>Magicforce Smart 21Key</t>
  </si>
  <si>
    <t>#299</t>
  </si>
  <si>
    <t>#4186</t>
  </si>
  <si>
    <t>Ducky One 2 Midnight</t>
  </si>
  <si>
    <t>#300</t>
  </si>
  <si>
    <t>#4208</t>
  </si>
  <si>
    <t>#301</t>
  </si>
  <si>
    <t>#4220</t>
  </si>
  <si>
    <t>Genius DX-100</t>
  </si>
  <si>
    <t>Microsoft Wired Keyboard 400</t>
  </si>
  <si>
    <t>#4223</t>
  </si>
  <si>
    <t>#303</t>
  </si>
  <si>
    <t>#4230</t>
  </si>
  <si>
    <t>#304</t>
  </si>
  <si>
    <t>#4245</t>
  </si>
  <si>
    <t>#4249</t>
  </si>
  <si>
    <t>Logitech G512</t>
  </si>
  <si>
    <t>GX Blue</t>
  </si>
  <si>
    <t>#306</t>
  </si>
  <si>
    <t>#4277</t>
  </si>
  <si>
    <t>HyperX Fury S</t>
  </si>
  <si>
    <t>Havit HV-KB380L</t>
  </si>
  <si>
    <t>Mech-Membrane</t>
  </si>
  <si>
    <t>#307</t>
  </si>
  <si>
    <t>#4293</t>
  </si>
  <si>
    <t>1750dpi</t>
  </si>
  <si>
    <t>Corsair K70 Lux</t>
  </si>
  <si>
    <t>#308</t>
  </si>
  <si>
    <t>#4302</t>
  </si>
  <si>
    <t>Redragon Cobra M711</t>
  </si>
  <si>
    <t>Bloody B-080</t>
  </si>
  <si>
    <t>Gateron Clear</t>
  </si>
  <si>
    <t>#309</t>
  </si>
  <si>
    <t>#4320</t>
  </si>
  <si>
    <t>#310</t>
  </si>
  <si>
    <t>#4334</t>
  </si>
  <si>
    <t>#311</t>
  </si>
  <si>
    <t>Zowie FK</t>
  </si>
  <si>
    <t>#4397</t>
  </si>
  <si>
    <t>1.3x</t>
  </si>
  <si>
    <t>Zowie ZA12</t>
  </si>
  <si>
    <t>Logitech G910 Orion Spark</t>
  </si>
  <si>
    <t>#313</t>
  </si>
  <si>
    <t>#4427</t>
  </si>
  <si>
    <t>1024x600</t>
  </si>
  <si>
    <t>20x15</t>
  </si>
  <si>
    <t>#314</t>
  </si>
  <si>
    <t>#4430</t>
  </si>
  <si>
    <t>Deck Hassium Pro CBL-108</t>
  </si>
  <si>
    <t>#315</t>
  </si>
  <si>
    <t>#4493</t>
  </si>
  <si>
    <t>65x49</t>
  </si>
  <si>
    <t>Steelseries Apex 300</t>
  </si>
  <si>
    <t>GANSS GK-87 Pro</t>
  </si>
  <si>
    <t>#317</t>
  </si>
  <si>
    <t>#4528</t>
  </si>
  <si>
    <t>Zalman ZM-M600R</t>
  </si>
  <si>
    <t>#318</t>
  </si>
  <si>
    <t>#4543</t>
  </si>
  <si>
    <t>#319</t>
  </si>
  <si>
    <t>#4589</t>
  </si>
  <si>
    <t>#320</t>
  </si>
  <si>
    <t>#4641</t>
  </si>
  <si>
    <t>HK Gaming GK61</t>
  </si>
  <si>
    <t>#321</t>
  </si>
  <si>
    <t>#4666</t>
  </si>
  <si>
    <t>#322</t>
  </si>
  <si>
    <t>#4701</t>
  </si>
  <si>
    <t>#323</t>
  </si>
  <si>
    <t>#4719</t>
  </si>
  <si>
    <t>Xtrfy NIP</t>
  </si>
  <si>
    <t>Sayobot O2C Pad</t>
  </si>
  <si>
    <t>#324</t>
  </si>
  <si>
    <t>#4741</t>
  </si>
  <si>
    <t>#325</t>
  </si>
  <si>
    <t>#4807</t>
  </si>
  <si>
    <t>#326</t>
  </si>
  <si>
    <t>#4839</t>
  </si>
  <si>
    <t>Zowie S2 Divina</t>
  </si>
  <si>
    <t>#4845</t>
  </si>
  <si>
    <t>#328</t>
  </si>
  <si>
    <t>#4846</t>
  </si>
  <si>
    <t>0.88x</t>
  </si>
  <si>
    <t>Reddragon P001 ARCHELON</t>
  </si>
  <si>
    <t>Qwazer Red Shift</t>
  </si>
  <si>
    <t>#329</t>
  </si>
  <si>
    <t>#4865</t>
  </si>
  <si>
    <t>#330</t>
  </si>
  <si>
    <t>#4909</t>
  </si>
  <si>
    <t>#331</t>
  </si>
  <si>
    <t>#4925</t>
  </si>
  <si>
    <t>#332</t>
  </si>
  <si>
    <t>#4943</t>
  </si>
  <si>
    <t>#4950</t>
  </si>
  <si>
    <t>1.6~1.65x</t>
  </si>
  <si>
    <t>39x29~41x30</t>
  </si>
  <si>
    <t>Microsoft Intellimouse 1.1a</t>
  </si>
  <si>
    <t>STM OS MLT 04</t>
  </si>
  <si>
    <t>Xenocidel two-K</t>
  </si>
  <si>
    <t>#334</t>
  </si>
  <si>
    <t>#4960</t>
  </si>
  <si>
    <t>0.56x</t>
  </si>
  <si>
    <t>46x35</t>
  </si>
  <si>
    <t>Genius NetScroll 120</t>
  </si>
  <si>
    <t>Logitech k100</t>
  </si>
  <si>
    <t>#335</t>
  </si>
  <si>
    <t>#336</t>
  </si>
  <si>
    <t>#5025</t>
  </si>
  <si>
    <t>#337</t>
  </si>
  <si>
    <t>#5037</t>
  </si>
  <si>
    <t>#338</t>
  </si>
  <si>
    <t>#5147</t>
  </si>
  <si>
    <t>Razer DeathAdder 4G</t>
  </si>
  <si>
    <t>#339</t>
  </si>
  <si>
    <t>#5190</t>
  </si>
  <si>
    <t>Ninox Aurora</t>
  </si>
  <si>
    <t>Cherry G80-3850LYB</t>
  </si>
  <si>
    <t>#340</t>
  </si>
  <si>
    <t>#5202</t>
  </si>
  <si>
    <t>#341</t>
  </si>
  <si>
    <t>#5205</t>
  </si>
  <si>
    <t>#342</t>
  </si>
  <si>
    <t>#5229</t>
  </si>
  <si>
    <t>#343</t>
  </si>
  <si>
    <t>#5236</t>
  </si>
  <si>
    <t>#344</t>
  </si>
  <si>
    <t>#5238</t>
  </si>
  <si>
    <t>2.2x</t>
  </si>
  <si>
    <t>Vortex iKBC F-104</t>
  </si>
  <si>
    <t>#345</t>
  </si>
  <si>
    <t>#5314</t>
  </si>
  <si>
    <t>#346</t>
  </si>
  <si>
    <t>#347</t>
  </si>
  <si>
    <t>#5435</t>
  </si>
  <si>
    <t>122x91</t>
  </si>
  <si>
    <t>Nixeus Revel</t>
  </si>
  <si>
    <t>Artisan Hayate Otsu Mid</t>
  </si>
  <si>
    <t>#348</t>
  </si>
  <si>
    <t>#5452</t>
  </si>
  <si>
    <t>1.43x</t>
  </si>
  <si>
    <t>#349</t>
  </si>
  <si>
    <t>#5565</t>
  </si>
  <si>
    <t>#5583</t>
  </si>
  <si>
    <t>Razer DeathAdder Essential</t>
  </si>
  <si>
    <t>Razer Blackwidow Essential</t>
  </si>
  <si>
    <t>#352</t>
  </si>
  <si>
    <t>#5598</t>
  </si>
  <si>
    <t>EVGA TORQ X10</t>
  </si>
  <si>
    <t>Corsair Vengeance K70</t>
  </si>
  <si>
    <t>#353</t>
  </si>
  <si>
    <t>#5601</t>
  </si>
  <si>
    <t>1125dpi</t>
  </si>
  <si>
    <t>Logitech G403 HERO</t>
  </si>
  <si>
    <t>Hero 16K</t>
  </si>
  <si>
    <t>Varmilo VA87M</t>
  </si>
  <si>
    <t>#354</t>
  </si>
  <si>
    <t>#5644</t>
  </si>
  <si>
    <t>Sharkoon FireGlider</t>
  </si>
  <si>
    <t>#355</t>
  </si>
  <si>
    <t>#5697</t>
  </si>
  <si>
    <t>#5734</t>
  </si>
  <si>
    <t>Logitech G840</t>
  </si>
  <si>
    <t>Varmilo VA87 Custom</t>
  </si>
  <si>
    <t>Tealios 67g</t>
  </si>
  <si>
    <t>#5785</t>
  </si>
  <si>
    <t>#358</t>
  </si>
  <si>
    <t>#5802</t>
  </si>
  <si>
    <t>On?</t>
  </si>
  <si>
    <t>Steelseries Sensei RAW</t>
  </si>
  <si>
    <t>Avago ADNS-9500</t>
  </si>
  <si>
    <t>DAS Model S</t>
  </si>
  <si>
    <t>#359</t>
  </si>
  <si>
    <t>#5846</t>
  </si>
  <si>
    <t>#360</t>
  </si>
  <si>
    <t>#361</t>
  </si>
  <si>
    <t>#5938</t>
  </si>
  <si>
    <t>#5944</t>
  </si>
  <si>
    <t>1.61x</t>
  </si>
  <si>
    <t>ADX Lava</t>
  </si>
  <si>
    <t>#363</t>
  </si>
  <si>
    <t>#5991</t>
  </si>
  <si>
    <t>#364</t>
  </si>
  <si>
    <t>#5998</t>
  </si>
  <si>
    <t>Xtrfy NiP Lightning Large</t>
  </si>
  <si>
    <t>#6041</t>
  </si>
  <si>
    <t>500hz</t>
  </si>
  <si>
    <t>Tesoro TIZONA TS-G2N</t>
  </si>
  <si>
    <t>Kahil Red</t>
  </si>
  <si>
    <t>#6083</t>
  </si>
  <si>
    <t>1.55x</t>
  </si>
  <si>
    <t>Logitech M90</t>
  </si>
  <si>
    <t>113mm</t>
  </si>
  <si>
    <t>Logitech G213/K120</t>
  </si>
  <si>
    <t>#367</t>
  </si>
  <si>
    <t>1040dpi</t>
  </si>
  <si>
    <t>#6143</t>
  </si>
  <si>
    <t>#6201</t>
  </si>
  <si>
    <t>A4Tech OP-35D</t>
  </si>
  <si>
    <t>Tesoro Durandal</t>
  </si>
  <si>
    <t>#370</t>
  </si>
  <si>
    <t>#3820</t>
  </si>
  <si>
    <t>#371</t>
  </si>
  <si>
    <t>#6236</t>
  </si>
  <si>
    <t>1320dpi</t>
  </si>
  <si>
    <t>#372</t>
  </si>
  <si>
    <t>#6241</t>
  </si>
  <si>
    <t>#373</t>
  </si>
  <si>
    <t>#6269</t>
  </si>
  <si>
    <t>#374</t>
  </si>
  <si>
    <t>#6300</t>
  </si>
  <si>
    <t>#375</t>
  </si>
  <si>
    <t>#6301</t>
  </si>
  <si>
    <t>Razer Abyssus Mirror</t>
  </si>
  <si>
    <t>#6302</t>
  </si>
  <si>
    <t>#377</t>
  </si>
  <si>
    <t>#6334</t>
  </si>
  <si>
    <t>#378</t>
  </si>
  <si>
    <t>#6345</t>
  </si>
  <si>
    <t>#6394</t>
  </si>
  <si>
    <t>#380</t>
  </si>
  <si>
    <t>#6433</t>
  </si>
  <si>
    <t>1.13x</t>
  </si>
  <si>
    <t>Steelseries Rival 100</t>
  </si>
  <si>
    <t>Avago ADNS-S3059-SS</t>
  </si>
  <si>
    <t>Delux DLK-8050</t>
  </si>
  <si>
    <t>#381</t>
  </si>
  <si>
    <t>#6469</t>
  </si>
  <si>
    <t>375dpi</t>
  </si>
  <si>
    <t>130x98</t>
  </si>
  <si>
    <t>xtrfy M4 RGB</t>
  </si>
  <si>
    <t>69g</t>
  </si>
  <si>
    <t>#382</t>
  </si>
  <si>
    <t>#6525</t>
  </si>
  <si>
    <t>0.47x</t>
  </si>
  <si>
    <t>Leopold FC900R</t>
  </si>
  <si>
    <t>#383</t>
  </si>
  <si>
    <t>#384</t>
  </si>
  <si>
    <t>#6539</t>
  </si>
  <si>
    <t>#6540</t>
  </si>
  <si>
    <t>#386</t>
  </si>
  <si>
    <t>#6548</t>
  </si>
  <si>
    <t>Razer Blackwidow Ultimate 2013</t>
  </si>
  <si>
    <t>#387</t>
  </si>
  <si>
    <t>#6586</t>
  </si>
  <si>
    <t>rClick/X</t>
  </si>
  <si>
    <t>5/11 Off</t>
  </si>
  <si>
    <t>0.72x</t>
  </si>
  <si>
    <t>Logicool (Logitech) G300S</t>
  </si>
  <si>
    <t>114m</t>
  </si>
  <si>
    <t>Corsair K65 RGB</t>
  </si>
  <si>
    <t>#388</t>
  </si>
  <si>
    <t>#6619</t>
  </si>
  <si>
    <t>#389</t>
  </si>
  <si>
    <t>#6633</t>
  </si>
  <si>
    <t>#390</t>
  </si>
  <si>
    <t>#6684</t>
  </si>
  <si>
    <t>#6695</t>
  </si>
  <si>
    <t>#392</t>
  </si>
  <si>
    <t>#6764</t>
  </si>
  <si>
    <t>Off?</t>
  </si>
  <si>
    <t>34x25?</t>
  </si>
  <si>
    <t>Fellowes Mouse Pad</t>
  </si>
  <si>
    <t>Brown?</t>
  </si>
  <si>
    <t>#393</t>
  </si>
  <si>
    <t>#6801</t>
  </si>
  <si>
    <t>#394</t>
  </si>
  <si>
    <t>#395</t>
  </si>
  <si>
    <t>#6845</t>
  </si>
  <si>
    <t>#396</t>
  </si>
  <si>
    <t>#6879</t>
  </si>
  <si>
    <t>#397</t>
  </si>
  <si>
    <t>#6901</t>
  </si>
  <si>
    <t>A4Tech X7 F3</t>
  </si>
  <si>
    <t>CM Storm Quickfire Pro</t>
  </si>
  <si>
    <t>#398</t>
  </si>
  <si>
    <t>#6940</t>
  </si>
  <si>
    <t>#399</t>
  </si>
  <si>
    <t>#6953</t>
  </si>
  <si>
    <t>#400</t>
  </si>
  <si>
    <t>#6976</t>
  </si>
  <si>
    <t>1550x1024</t>
  </si>
  <si>
    <t>#401</t>
  </si>
  <si>
    <t>#6991</t>
  </si>
  <si>
    <t>#402</t>
  </si>
  <si>
    <t>#7001</t>
  </si>
  <si>
    <t>HyperX Fury Pro</t>
  </si>
  <si>
    <t>#403</t>
  </si>
  <si>
    <t>#6999</t>
  </si>
  <si>
    <t>Rosewill RK-9100</t>
  </si>
  <si>
    <t>#404</t>
  </si>
  <si>
    <t>#7005</t>
  </si>
  <si>
    <t>Razer DeathAdder 3.5G</t>
  </si>
  <si>
    <t>CM Storm Quickfire</t>
  </si>
  <si>
    <t>#7009</t>
  </si>
  <si>
    <t>#406</t>
  </si>
  <si>
    <t>A4Tech OP-520</t>
  </si>
  <si>
    <t>#407</t>
  </si>
  <si>
    <t>#7091</t>
  </si>
  <si>
    <t>#408</t>
  </si>
  <si>
    <t>#7142</t>
  </si>
  <si>
    <t>Finalmouse Ultralight 2</t>
  </si>
  <si>
    <t>GMK Mizu Koi</t>
  </si>
  <si>
    <t>Varmilo MA87M/MA21M / Leopold FC660C</t>
  </si>
  <si>
    <t>Varmilo EC Sakura/Rosery / Topre</t>
  </si>
  <si>
    <t>#409</t>
  </si>
  <si>
    <t>#7208</t>
  </si>
  <si>
    <t>HyperX Pulsefire FPS Pro</t>
  </si>
  <si>
    <t>Fallen Cache Speed</t>
  </si>
  <si>
    <t>Sharkoon SGK3</t>
  </si>
  <si>
    <t>#410</t>
  </si>
  <si>
    <t>#7269</t>
  </si>
  <si>
    <t>#411</t>
  </si>
  <si>
    <t>#7277</t>
  </si>
  <si>
    <t>#412</t>
  </si>
  <si>
    <t>#7283</t>
  </si>
  <si>
    <r>
      <rPr>
        <rFont val="Arial"/>
      </rPr>
      <t xml:space="preserve">8/11 </t>
    </r>
    <r>
      <rPr>
        <rFont val="Arial"/>
        <b/>
        <color rgb="FFFF0000"/>
      </rPr>
      <t>On</t>
    </r>
  </si>
  <si>
    <t>~20x15</t>
  </si>
  <si>
    <t>Finalmouse Air58 Ninja</t>
  </si>
  <si>
    <t>Artisan Hataye Otsu</t>
  </si>
  <si>
    <t>58g</t>
  </si>
  <si>
    <t>Bit Ferrous BFKB113PBK</t>
  </si>
  <si>
    <t>Rubber Dome (Pantograph)</t>
  </si>
  <si>
    <t>#413</t>
  </si>
  <si>
    <t>#7325</t>
  </si>
  <si>
    <t>Custom Polaris</t>
  </si>
  <si>
    <t>Gat Black Inks</t>
  </si>
  <si>
    <t>#7424</t>
  </si>
  <si>
    <t>#415</t>
  </si>
  <si>
    <t>#7448</t>
  </si>
  <si>
    <t>1.00x</t>
  </si>
  <si>
    <t>Logitech G420</t>
  </si>
  <si>
    <t>#416</t>
  </si>
  <si>
    <t>#7521</t>
  </si>
  <si>
    <t>Roccat Taito Speed</t>
  </si>
  <si>
    <t>lingyi Black Widow TKL</t>
  </si>
  <si>
    <t>Blue Outemu</t>
  </si>
  <si>
    <t>#7554</t>
  </si>
  <si>
    <t>#418</t>
  </si>
  <si>
    <t>#7617</t>
  </si>
  <si>
    <t>22x16?</t>
  </si>
  <si>
    <t>Max Nighthawk X7</t>
  </si>
  <si>
    <t>#420</t>
  </si>
  <si>
    <t>#7675</t>
  </si>
  <si>
    <t>#421</t>
  </si>
  <si>
    <t>#7701</t>
  </si>
  <si>
    <t>#422</t>
  </si>
  <si>
    <t>#7734</t>
  </si>
  <si>
    <t>Paper</t>
  </si>
  <si>
    <t>#423</t>
  </si>
  <si>
    <t>#7835</t>
  </si>
  <si>
    <t>#7849</t>
  </si>
  <si>
    <t>Cooler Master CM110</t>
  </si>
  <si>
    <t>Asus ROG Steath</t>
  </si>
  <si>
    <t>Corsair K95 RGB Platinum</t>
  </si>
  <si>
    <t>Cherry MX Silver</t>
  </si>
  <si>
    <t>#7915</t>
  </si>
  <si>
    <t>#426</t>
  </si>
  <si>
    <t>#7972</t>
  </si>
  <si>
    <t>12x9</t>
  </si>
  <si>
    <t>#427</t>
  </si>
  <si>
    <t>#7985</t>
  </si>
  <si>
    <t>2.17x</t>
  </si>
  <si>
    <t>custom Signa v3</t>
  </si>
  <si>
    <t>Tealios w/ 55g SPRiT Springs</t>
  </si>
  <si>
    <t>#428</t>
  </si>
  <si>
    <t>#8005</t>
  </si>
  <si>
    <t>Corsair Strife RGB</t>
  </si>
  <si>
    <t>Silent Red</t>
  </si>
  <si>
    <t>#429</t>
  </si>
  <si>
    <t>#8011</t>
  </si>
  <si>
    <t>Simpad v2</t>
  </si>
  <si>
    <t>#430</t>
  </si>
  <si>
    <t>#8031</t>
  </si>
  <si>
    <t>1768x992</t>
  </si>
  <si>
    <t>DM1 FPS</t>
  </si>
  <si>
    <t>iKBC F87</t>
  </si>
  <si>
    <t>#431</t>
  </si>
  <si>
    <t>#8077</t>
  </si>
  <si>
    <t>580dpi</t>
  </si>
  <si>
    <t>QPAD MK-80</t>
  </si>
  <si>
    <t>#432</t>
  </si>
  <si>
    <t>#8118</t>
  </si>
  <si>
    <t>2700dpi</t>
  </si>
  <si>
    <t>#433</t>
  </si>
  <si>
    <t>#8207</t>
  </si>
  <si>
    <t>#434</t>
  </si>
  <si>
    <t>#8214</t>
  </si>
  <si>
    <t>Razer Sphex</t>
  </si>
  <si>
    <t>#435</t>
  </si>
  <si>
    <t>#8246</t>
  </si>
  <si>
    <t>#8278</t>
  </si>
  <si>
    <t>Cooler Master MM711</t>
  </si>
  <si>
    <t>Tecware Phantom 87</t>
  </si>
  <si>
    <t>Outemu Sky</t>
  </si>
  <si>
    <t>#437</t>
  </si>
  <si>
    <t>#8347</t>
  </si>
  <si>
    <t>Roccat Kone Pure EMP</t>
  </si>
  <si>
    <t>Corsair MM200 Extended</t>
  </si>
  <si>
    <t>#438</t>
  </si>
  <si>
    <t>#8373</t>
  </si>
  <si>
    <t>1400dpi</t>
  </si>
  <si>
    <t>1.7x</t>
  </si>
  <si>
    <t>Kailh Red</t>
  </si>
  <si>
    <t>#439</t>
  </si>
  <si>
    <t>#8414</t>
  </si>
  <si>
    <t>#8434</t>
  </si>
  <si>
    <t>#441</t>
  </si>
  <si>
    <t>#8480</t>
  </si>
  <si>
    <t>#442</t>
  </si>
  <si>
    <t>#8535</t>
  </si>
  <si>
    <t>#443</t>
  </si>
  <si>
    <t>#8553</t>
  </si>
  <si>
    <t>Steelseries (?)</t>
  </si>
  <si>
    <t>Havit HV-KB390L</t>
  </si>
  <si>
    <t>Kailh low-profile Blue</t>
  </si>
  <si>
    <t>#444</t>
  </si>
  <si>
    <t>#8572</t>
  </si>
  <si>
    <t>Corsair MM600</t>
  </si>
  <si>
    <t>Razer Lycosa</t>
  </si>
  <si>
    <t>#445</t>
  </si>
  <si>
    <t>#8576</t>
  </si>
  <si>
    <t>Zet Dagger</t>
  </si>
  <si>
    <t>#446</t>
  </si>
  <si>
    <t>#8577</t>
  </si>
  <si>
    <t>126g</t>
  </si>
  <si>
    <t>76mm</t>
  </si>
  <si>
    <t>#447</t>
  </si>
  <si>
    <t>#8584</t>
  </si>
  <si>
    <t>#448</t>
  </si>
  <si>
    <t>#8604</t>
  </si>
  <si>
    <t>#449</t>
  </si>
  <si>
    <t>#8636</t>
  </si>
  <si>
    <t>DELTACO</t>
  </si>
  <si>
    <t>Corsair K70 mk1</t>
  </si>
  <si>
    <t>#450</t>
  </si>
  <si>
    <t>#8635</t>
  </si>
  <si>
    <t>#451</t>
  </si>
  <si>
    <t>#8657</t>
  </si>
  <si>
    <t>2.05x</t>
  </si>
  <si>
    <t>11x8</t>
  </si>
  <si>
    <t>#452</t>
  </si>
  <si>
    <t>#8668</t>
  </si>
  <si>
    <t>Logitech G400</t>
  </si>
  <si>
    <t>137g</t>
  </si>
  <si>
    <t>73mm</t>
  </si>
  <si>
    <t>CM Storm Trigger-Z</t>
  </si>
  <si>
    <t>#453</t>
  </si>
  <si>
    <t>#8684</t>
  </si>
  <si>
    <t>TteSports Theron Infrared</t>
  </si>
  <si>
    <t>CM Power-RX</t>
  </si>
  <si>
    <t>Black Hornet MKA-3</t>
  </si>
  <si>
    <t>#454</t>
  </si>
  <si>
    <t>#8699</t>
  </si>
  <si>
    <t>Leopold FC750R White</t>
  </si>
  <si>
    <t>#455</t>
  </si>
  <si>
    <t>2370x1333</t>
  </si>
  <si>
    <t>#456</t>
  </si>
  <si>
    <t>#8762</t>
  </si>
  <si>
    <t>#457</t>
  </si>
  <si>
    <t>#8799</t>
  </si>
  <si>
    <t>GX Brown</t>
  </si>
  <si>
    <t>#458</t>
  </si>
  <si>
    <t>#8801</t>
  </si>
  <si>
    <t>#459</t>
  </si>
  <si>
    <t>#8819</t>
  </si>
  <si>
    <t>1.0~1.1x</t>
  </si>
  <si>
    <t>29x22~33x24</t>
  </si>
  <si>
    <t>E-Blue Puntero</t>
  </si>
  <si>
    <t>Razer Mantis Speed</t>
  </si>
  <si>
    <t>#460</t>
  </si>
  <si>
    <t>#8822</t>
  </si>
  <si>
    <t>#461</t>
  </si>
  <si>
    <t>#8834</t>
  </si>
  <si>
    <t>1.35x</t>
  </si>
  <si>
    <t>Massdrop CTRL</t>
  </si>
  <si>
    <t>Kailh Blue</t>
  </si>
  <si>
    <t>#462</t>
  </si>
  <si>
    <t>#8858</t>
  </si>
  <si>
    <t>Steelseries Kana v2</t>
  </si>
  <si>
    <t>#463</t>
  </si>
  <si>
    <t>#8871</t>
  </si>
  <si>
    <t>560dpi</t>
  </si>
  <si>
    <t>#464</t>
  </si>
  <si>
    <t>#8917</t>
  </si>
  <si>
    <t>37x28?</t>
  </si>
  <si>
    <t>#465</t>
  </si>
  <si>
    <t>#8923</t>
  </si>
  <si>
    <t>#466</t>
  </si>
  <si>
    <t>#8984</t>
  </si>
  <si>
    <r>
      <rPr>
        <rFont val="arial,sans,sans-serif"/>
      </rPr>
      <t xml:space="preserve">10/11 </t>
    </r>
    <r>
      <rPr>
        <rFont val="arial,sans,sans-serif"/>
        <b/>
        <color rgb="FFCC0000"/>
      </rPr>
      <t>On</t>
    </r>
  </si>
  <si>
    <t>Logitech M-BT96A</t>
  </si>
  <si>
    <t>Acer SK-9626</t>
  </si>
  <si>
    <t>#467</t>
  </si>
  <si>
    <t>#9079</t>
  </si>
  <si>
    <t>#468</t>
  </si>
  <si>
    <t>#9089</t>
  </si>
  <si>
    <t>Rakoon Mouse Pad</t>
  </si>
  <si>
    <t>#469</t>
  </si>
  <si>
    <t>#9128</t>
  </si>
  <si>
    <t>#470</t>
  </si>
  <si>
    <t>#9154</t>
  </si>
  <si>
    <t>#471</t>
  </si>
  <si>
    <t>#9174</t>
  </si>
  <si>
    <t>#472</t>
  </si>
  <si>
    <t>#9182</t>
  </si>
  <si>
    <t>0.83x</t>
  </si>
  <si>
    <t>Sharkoon PureWriter RGB</t>
  </si>
  <si>
    <t>Kailh low-profile Red</t>
  </si>
  <si>
    <t>#473</t>
  </si>
  <si>
    <t>#9225</t>
  </si>
  <si>
    <t>Logitech M100r</t>
  </si>
  <si>
    <t>#474</t>
  </si>
  <si>
    <t>#9357</t>
  </si>
  <si>
    <t>#475</t>
  </si>
  <si>
    <t>#9358</t>
  </si>
  <si>
    <t>#476</t>
  </si>
  <si>
    <t>#9404</t>
  </si>
  <si>
    <t>#477</t>
  </si>
  <si>
    <t>#9477</t>
  </si>
  <si>
    <t>250Hz</t>
  </si>
  <si>
    <t>TeckNet Gaming Mousepad</t>
  </si>
  <si>
    <t>Thinkk osu! Gamepad</t>
  </si>
  <si>
    <t>#478</t>
  </si>
  <si>
    <t>#9544</t>
  </si>
  <si>
    <t>OEX Big Shot MP-303</t>
  </si>
  <si>
    <t>#479</t>
  </si>
  <si>
    <t>#9558</t>
  </si>
  <si>
    <t>#480</t>
  </si>
  <si>
    <t>#9662</t>
  </si>
  <si>
    <t>#481</t>
  </si>
  <si>
    <t>#9686</t>
  </si>
  <si>
    <t>1664x936</t>
  </si>
  <si>
    <t>83x62</t>
  </si>
  <si>
    <t>Artisan Zero</t>
  </si>
  <si>
    <t>#482</t>
  </si>
  <si>
    <t>#9708</t>
  </si>
  <si>
    <t>Maxtill Tron G10</t>
  </si>
  <si>
    <t>Xenics StormX Overclock</t>
  </si>
  <si>
    <t>#483</t>
  </si>
  <si>
    <t>#9740</t>
  </si>
  <si>
    <t>Logitech K120</t>
  </si>
  <si>
    <t>#484</t>
  </si>
  <si>
    <t>0.96x~1.03x</t>
  </si>
  <si>
    <t>Steelseries QcK+ Howl LE</t>
  </si>
  <si>
    <t>Corair K63</t>
  </si>
  <si>
    <t>#485</t>
  </si>
  <si>
    <t>#9821</t>
  </si>
  <si>
    <t>#486</t>
  </si>
  <si>
    <t>#9857</t>
  </si>
  <si>
    <t>NONO Pro</t>
  </si>
  <si>
    <t>#487</t>
  </si>
  <si>
    <t>#9856</t>
  </si>
  <si>
    <t>thnikk osu! keypad</t>
  </si>
  <si>
    <t>#9970</t>
  </si>
  <si>
    <t>Redragon ARCHELON</t>
  </si>
  <si>
    <t>Razer Orange</t>
  </si>
  <si>
    <t>#489</t>
  </si>
  <si>
    <t>#10067</t>
  </si>
  <si>
    <t>G-Wolves Hati-S Wireless</t>
  </si>
  <si>
    <t>HK GK61</t>
  </si>
  <si>
    <t>Gateron Yellow</t>
  </si>
  <si>
    <t>#490</t>
  </si>
  <si>
    <t>#10087</t>
  </si>
  <si>
    <t>#491</t>
  </si>
  <si>
    <t>#10099</t>
  </si>
  <si>
    <t>#492</t>
  </si>
  <si>
    <t>#6920</t>
  </si>
  <si>
    <t>ikbc c87</t>
  </si>
  <si>
    <t>#493</t>
  </si>
  <si>
    <t>#10175</t>
  </si>
  <si>
    <t>Dual Mouse</t>
  </si>
  <si>
    <t>Dharma Tactical Mouse DRTCM37BK</t>
  </si>
  <si>
    <t>#494</t>
  </si>
  <si>
    <t>#10183</t>
  </si>
  <si>
    <t>#495</t>
  </si>
  <si>
    <t>#10189</t>
  </si>
  <si>
    <t>LINGBAO jinguanshi</t>
  </si>
  <si>
    <t>#496</t>
  </si>
  <si>
    <t>#10203</t>
  </si>
  <si>
    <t>Microsoft Intellimouse 3.0</t>
  </si>
  <si>
    <t>Omron D2F-O1F-T</t>
  </si>
  <si>
    <t xml:space="preserve"> </t>
  </si>
  <si>
    <t>#10249</t>
  </si>
  <si>
    <t>#498</t>
  </si>
  <si>
    <t>#10252</t>
  </si>
  <si>
    <t>Roccat Lua</t>
  </si>
  <si>
    <t>#499</t>
  </si>
  <si>
    <t>#10262</t>
  </si>
  <si>
    <t>#10264</t>
  </si>
  <si>
    <t>#501</t>
  </si>
  <si>
    <t>#10279</t>
  </si>
  <si>
    <t>#502</t>
  </si>
  <si>
    <t>#10285</t>
  </si>
  <si>
    <t>#503</t>
  </si>
  <si>
    <t>#10329</t>
  </si>
  <si>
    <t>Tiger Master 3 Special Edition</t>
  </si>
  <si>
    <t>#504</t>
  </si>
  <si>
    <t>#10330</t>
  </si>
  <si>
    <t>30x22</t>
  </si>
  <si>
    <t>#505</t>
  </si>
  <si>
    <t>#10377</t>
  </si>
  <si>
    <t>1280x768</t>
  </si>
  <si>
    <t>66x49</t>
  </si>
  <si>
    <t>Steelseries Apex 100</t>
  </si>
  <si>
    <t>#506</t>
  </si>
  <si>
    <t>#10391</t>
  </si>
  <si>
    <t>1.9x</t>
  </si>
  <si>
    <t>Mionix Castor</t>
  </si>
  <si>
    <t>#10402</t>
  </si>
  <si>
    <t>Reflex Lab</t>
  </si>
  <si>
    <t>#508</t>
  </si>
  <si>
    <t>Corsair Vengeance K95</t>
  </si>
  <si>
    <t>#509</t>
  </si>
  <si>
    <t>#10558</t>
  </si>
  <si>
    <t>Corsair MM100</t>
  </si>
  <si>
    <t>Varmilo VA88M</t>
  </si>
  <si>
    <t>#510</t>
  </si>
  <si>
    <t>Razer Scarab</t>
  </si>
  <si>
    <t>#511</t>
  </si>
  <si>
    <t>#10671</t>
  </si>
  <si>
    <t>0.54x</t>
  </si>
  <si>
    <t>56x42</t>
  </si>
  <si>
    <t>#512</t>
  </si>
  <si>
    <t>#10673</t>
  </si>
  <si>
    <t>#10838</t>
  </si>
  <si>
    <t>Mouse Pad VX Gamer Dragon</t>
  </si>
  <si>
    <t>CM MasterKeys Pro M RGB</t>
  </si>
  <si>
    <t>#10916</t>
  </si>
  <si>
    <t>#515</t>
  </si>
  <si>
    <t>#10947</t>
  </si>
  <si>
    <t>#516</t>
  </si>
  <si>
    <t>#10960</t>
  </si>
  <si>
    <t>Corsair Dark Core RGB</t>
  </si>
  <si>
    <t>#517</t>
  </si>
  <si>
    <t>#10982</t>
  </si>
  <si>
    <t>Steelseries 6Gv2</t>
  </si>
  <si>
    <t>#518</t>
  </si>
  <si>
    <t>#11003</t>
  </si>
  <si>
    <t>ikbc f87</t>
  </si>
  <si>
    <t>#519</t>
  </si>
  <si>
    <t>#11022</t>
  </si>
  <si>
    <t>#520</t>
  </si>
  <si>
    <t>#11070</t>
  </si>
  <si>
    <t>#521</t>
  </si>
  <si>
    <t>#11087</t>
  </si>
  <si>
    <t>Razer Trancehead Tournament</t>
  </si>
  <si>
    <t>#522</t>
  </si>
  <si>
    <t>#11127</t>
  </si>
  <si>
    <t>#523</t>
  </si>
  <si>
    <t xml:space="preserve">1200~1500dpi </t>
  </si>
  <si>
    <t>24x18~30x23</t>
  </si>
  <si>
    <t>Razer Taipan</t>
  </si>
  <si>
    <t>Avago ADNS-9818</t>
  </si>
  <si>
    <t>Rosewill</t>
  </si>
  <si>
    <t>#524</t>
  </si>
  <si>
    <t>0.65x</t>
  </si>
  <si>
    <t>Sunsonny SK-K1</t>
  </si>
  <si>
    <t>#525</t>
  </si>
  <si>
    <t>#11171</t>
  </si>
  <si>
    <t>73x55</t>
  </si>
  <si>
    <t>#526</t>
  </si>
  <si>
    <t>#11216</t>
  </si>
  <si>
    <t>850dpi</t>
  </si>
  <si>
    <t>43x32</t>
  </si>
  <si>
    <t>Roccat Nyth</t>
  </si>
  <si>
    <t>Roccat Twin-Tech Laser Sensor R1</t>
  </si>
  <si>
    <t>120g</t>
  </si>
  <si>
    <t>129mm</t>
  </si>
  <si>
    <t>78mm</t>
  </si>
  <si>
    <t>Razor Blackwidow Chroma</t>
  </si>
  <si>
    <t>#527</t>
  </si>
  <si>
    <t>#11250</t>
  </si>
  <si>
    <t>Orange</t>
  </si>
  <si>
    <t>#528</t>
  </si>
  <si>
    <t>#11457</t>
  </si>
  <si>
    <t>Vakoss XZero</t>
  </si>
  <si>
    <t>#530</t>
  </si>
  <si>
    <t>#532</t>
  </si>
  <si>
    <t>#533</t>
  </si>
  <si>
    <t>#11541</t>
  </si>
  <si>
    <t>#534</t>
  </si>
  <si>
    <t>#11586</t>
  </si>
  <si>
    <t>DAS Ultimate 4</t>
  </si>
  <si>
    <t>#535</t>
  </si>
  <si>
    <t>#11602</t>
  </si>
  <si>
    <t>#536</t>
  </si>
  <si>
    <t>A4Tech X7-300MP</t>
  </si>
  <si>
    <t>A4Tech X7-G800</t>
  </si>
  <si>
    <t>#537</t>
  </si>
  <si>
    <t>#11639</t>
  </si>
  <si>
    <t>#538</t>
  </si>
  <si>
    <t>Roccat Taito 5mm</t>
  </si>
  <si>
    <t>#539</t>
  </si>
  <si>
    <t>osu! Keyboard</t>
  </si>
  <si>
    <t>#540</t>
  </si>
  <si>
    <t>#11835</t>
  </si>
  <si>
    <t>1.12x</t>
  </si>
  <si>
    <t>Asus ROG Sica</t>
  </si>
  <si>
    <t>#541</t>
  </si>
  <si>
    <t>#11842</t>
  </si>
  <si>
    <t>#542</t>
  </si>
  <si>
    <t>#11889</t>
  </si>
  <si>
    <t>66x50</t>
  </si>
  <si>
    <t>#543</t>
  </si>
  <si>
    <t>#11936</t>
  </si>
  <si>
    <t>Steelseries Sensei 310</t>
  </si>
  <si>
    <t>Steelseries Dex</t>
  </si>
  <si>
    <t>#544</t>
  </si>
  <si>
    <t>#11941</t>
  </si>
  <si>
    <t>#545</t>
  </si>
  <si>
    <t>#11957</t>
  </si>
  <si>
    <t>#546</t>
  </si>
  <si>
    <t>#12027</t>
  </si>
  <si>
    <t>#12045</t>
  </si>
  <si>
    <t>#548</t>
  </si>
  <si>
    <t>#549</t>
  </si>
  <si>
    <t>#12091</t>
  </si>
  <si>
    <t>#550</t>
  </si>
  <si>
    <t>#12117</t>
  </si>
  <si>
    <t>#551</t>
  </si>
  <si>
    <t>#12200</t>
  </si>
  <si>
    <t>Roccat Hiro+</t>
  </si>
  <si>
    <t>Ducky Year of the Rooster</t>
  </si>
  <si>
    <t>#552</t>
  </si>
  <si>
    <t>#12208</t>
  </si>
  <si>
    <t>#12273</t>
  </si>
  <si>
    <t>#554</t>
  </si>
  <si>
    <t>20x15~26x20</t>
  </si>
  <si>
    <t>Elecom Pop Grast 3</t>
  </si>
  <si>
    <t>#555</t>
  </si>
  <si>
    <t>#12444</t>
  </si>
  <si>
    <t>#556</t>
  </si>
  <si>
    <t>#12526</t>
  </si>
  <si>
    <t>iXCC Gaming</t>
  </si>
  <si>
    <t>#557</t>
  </si>
  <si>
    <t>#12550</t>
  </si>
  <si>
    <t>#12551</t>
  </si>
  <si>
    <t>#559</t>
  </si>
  <si>
    <t>#12555</t>
  </si>
  <si>
    <t>Zowie ZA11</t>
  </si>
  <si>
    <t>#560</t>
  </si>
  <si>
    <t>#12691</t>
  </si>
  <si>
    <t>Logitech G610 Orion</t>
  </si>
  <si>
    <t>#12714</t>
  </si>
  <si>
    <t>#562</t>
  </si>
  <si>
    <t>#12724</t>
  </si>
  <si>
    <t xml:space="preserve">im assuming </t>
  </si>
  <si>
    <t>Razer Destructor 2</t>
  </si>
  <si>
    <t>#563</t>
  </si>
  <si>
    <t>#12723</t>
  </si>
  <si>
    <t>Corsair Glaive RGB</t>
  </si>
  <si>
    <t>Pixart PMW3367</t>
  </si>
  <si>
    <t>#564</t>
  </si>
  <si>
    <t>#12830</t>
  </si>
  <si>
    <t>Corsair M45</t>
  </si>
  <si>
    <t>Corsair MM100 extended</t>
  </si>
  <si>
    <t>97g</t>
  </si>
  <si>
    <t>#12865</t>
  </si>
  <si>
    <t>Havit RGB</t>
  </si>
  <si>
    <t>#566</t>
  </si>
  <si>
    <t>#13037</t>
  </si>
  <si>
    <t>#567</t>
  </si>
  <si>
    <t>#13097</t>
  </si>
  <si>
    <t>MSI mousepad</t>
  </si>
  <si>
    <t>Spirit of Gamers xk500</t>
  </si>
  <si>
    <t>#568</t>
  </si>
  <si>
    <t>#569</t>
  </si>
  <si>
    <t>#13136</t>
  </si>
  <si>
    <t>HP OMEN Mouse Pad 300</t>
  </si>
  <si>
    <t>Metoo Zero X08</t>
  </si>
  <si>
    <t>Red (35g springs)</t>
  </si>
  <si>
    <t>#570</t>
  </si>
  <si>
    <t>#13160</t>
  </si>
  <si>
    <t>#13286</t>
  </si>
  <si>
    <t>#573</t>
  </si>
  <si>
    <t>#13409</t>
  </si>
  <si>
    <t>#574</t>
  </si>
  <si>
    <t>#13692</t>
  </si>
  <si>
    <t>#575</t>
  </si>
  <si>
    <t>#13735</t>
  </si>
  <si>
    <t>#576</t>
  </si>
  <si>
    <t>#13742</t>
  </si>
  <si>
    <t>#577</t>
  </si>
  <si>
    <t>#13767</t>
  </si>
  <si>
    <t>#578</t>
  </si>
  <si>
    <t>#13782</t>
  </si>
  <si>
    <t>1.45~1.55x</t>
  </si>
  <si>
    <t>29x22~31x24</t>
  </si>
  <si>
    <t>Bloody T70</t>
  </si>
  <si>
    <t>Avago A3050</t>
  </si>
  <si>
    <t>130g</t>
  </si>
  <si>
    <t>81mm</t>
  </si>
  <si>
    <t>OZONE Strike Battle Pro</t>
  </si>
  <si>
    <t>#579</t>
  </si>
  <si>
    <t>#13809</t>
  </si>
  <si>
    <t>#580</t>
  </si>
  <si>
    <t>#13818</t>
  </si>
  <si>
    <t>#581</t>
  </si>
  <si>
    <t>#13859</t>
  </si>
  <si>
    <t>#582</t>
  </si>
  <si>
    <t>#14060</t>
  </si>
  <si>
    <t>#583</t>
  </si>
  <si>
    <t>#14155</t>
  </si>
  <si>
    <t>#584</t>
  </si>
  <si>
    <t>#14180</t>
  </si>
  <si>
    <t>#585</t>
  </si>
  <si>
    <t>#14215</t>
  </si>
  <si>
    <t>20x15?</t>
  </si>
  <si>
    <t>Cherry G80-3850</t>
  </si>
  <si>
    <t>#586</t>
  </si>
  <si>
    <t>#14382</t>
  </si>
  <si>
    <t>#587</t>
  </si>
  <si>
    <t>#14399</t>
  </si>
  <si>
    <t>Skydigital NMouse 4K</t>
  </si>
  <si>
    <t>Ducky ONE 2 Seamless Skyline</t>
  </si>
  <si>
    <t>#588</t>
  </si>
  <si>
    <t>#14452</t>
  </si>
  <si>
    <t>#589</t>
  </si>
  <si>
    <t>#14598</t>
  </si>
  <si>
    <t>#590</t>
  </si>
  <si>
    <t>#591</t>
  </si>
  <si>
    <t>#15021</t>
  </si>
  <si>
    <t>8/11 Off</t>
  </si>
  <si>
    <t>Corsair Vengeance MM600</t>
  </si>
  <si>
    <t>QPad MK-50</t>
  </si>
  <si>
    <t>#592</t>
  </si>
  <si>
    <t>#15075</t>
  </si>
  <si>
    <t>#593</t>
  </si>
  <si>
    <t>#15327</t>
  </si>
  <si>
    <t>0.43x</t>
  </si>
  <si>
    <t>106x80</t>
  </si>
  <si>
    <t>#594</t>
  </si>
  <si>
    <t>#15744</t>
  </si>
  <si>
    <t>350dpi</t>
  </si>
  <si>
    <t>4.22x</t>
  </si>
  <si>
    <t>#595</t>
  </si>
  <si>
    <t>#16580</t>
  </si>
  <si>
    <t>Cherry MX-Board 2.0</t>
  </si>
  <si>
    <t>#596</t>
  </si>
  <si>
    <t>#16931</t>
  </si>
  <si>
    <t>0.81x</t>
  </si>
  <si>
    <t>KEEP ONE+ EMPTY ROWS ABOVE</t>
  </si>
  <si>
    <t>#2944</t>
  </si>
  <si>
    <t>Everything</t>
  </si>
  <si>
    <t>#12195</t>
  </si>
  <si>
    <t>M/KB or Touchscreen</t>
  </si>
  <si>
    <t xml:space="preserve">          1.0x</t>
  </si>
  <si>
    <t xml:space="preserve">      1152x864 </t>
  </si>
  <si>
    <t>Cosy m1214g</t>
  </si>
  <si>
    <t>Avago ADNS-5050</t>
  </si>
  <si>
    <t>Deck Hassium CBL-108</t>
  </si>
  <si>
    <t>Red/Blue</t>
  </si>
  <si>
    <t>#31576</t>
  </si>
  <si>
    <t>#34043</t>
  </si>
  <si>
    <t>24x18?</t>
  </si>
  <si>
    <t>#33371</t>
  </si>
  <si>
    <t>Artisan飛燕 (Hien)</t>
  </si>
  <si>
    <t>#49325</t>
  </si>
  <si>
    <t>#95700</t>
  </si>
  <si>
    <t>0.25x~1.0x</t>
  </si>
  <si>
    <t>15x11~58x44</t>
  </si>
  <si>
    <t>A4Tech XL-740K</t>
  </si>
  <si>
    <t>Qcyber Crossfire</t>
  </si>
  <si>
    <t>9x6</t>
  </si>
  <si>
    <t>Logitech G9x</t>
  </si>
  <si>
    <t>Avago ADNS-S9500</t>
  </si>
  <si>
    <t>G.Skill RIPJAWS KM780</t>
  </si>
  <si>
    <t>#107852</t>
  </si>
  <si>
    <t>1600~3600dpi</t>
  </si>
  <si>
    <t>1.0~1.3x</t>
  </si>
  <si>
    <t>6x4~16x12</t>
  </si>
  <si>
    <t>A4Tech XL-755BK</t>
  </si>
  <si>
    <t>#60289</t>
  </si>
  <si>
    <t>7x6(?????)</t>
  </si>
  <si>
    <t>Razer Deathadder 3.5G</t>
  </si>
  <si>
    <t>trading card playmat</t>
  </si>
  <si>
    <t>#38737</t>
  </si>
  <si>
    <t>#37612</t>
  </si>
  <si>
    <t>#45475</t>
  </si>
  <si>
    <t>Nemesis Zark</t>
  </si>
  <si>
    <t>Logitech G15</t>
  </si>
  <si>
    <t>#94728</t>
  </si>
  <si>
    <t>Logitech MX518</t>
  </si>
  <si>
    <t>#6244</t>
  </si>
  <si>
    <t>A4Tech X7-200MP</t>
  </si>
  <si>
    <t>Razer Blackwidow 2016</t>
  </si>
  <si>
    <t>#20078</t>
  </si>
  <si>
    <t>#69004</t>
  </si>
  <si>
    <t>Microsoft Switch</t>
  </si>
  <si>
    <t>#47767</t>
  </si>
  <si>
    <t>150dpi</t>
  </si>
  <si>
    <t>244x183</t>
  </si>
  <si>
    <t>Mionix Naos 7000</t>
  </si>
  <si>
    <t>#5317</t>
  </si>
  <si>
    <t>1900x1080</t>
  </si>
  <si>
    <t>#40055</t>
  </si>
  <si>
    <t>Logitech G513</t>
  </si>
  <si>
    <t>RomerG</t>
  </si>
  <si>
    <t>0.8x~0.9x</t>
  </si>
  <si>
    <t>33x24~37x27</t>
  </si>
  <si>
    <t>Xenics Premium</t>
  </si>
  <si>
    <t>103g</t>
  </si>
  <si>
    <t>CM MasterKeys Pro S RGB</t>
  </si>
  <si>
    <t>POLAR PGM-811</t>
  </si>
  <si>
    <t>Laser</t>
  </si>
  <si>
    <t>Cherry G80 3800</t>
  </si>
  <si>
    <t>Fnatic Rush</t>
  </si>
  <si>
    <t>1.11x</t>
  </si>
  <si>
    <t>Mouse Pad Gamer Playpad - Basic HGP</t>
  </si>
  <si>
    <t>Multilaser TC167</t>
  </si>
  <si>
    <t>Razer Abyssus 1800</t>
  </si>
  <si>
    <t>Corsair MM300 Medium</t>
  </si>
  <si>
    <t>#983</t>
  </si>
  <si>
    <t>Roccat Kone Pure</t>
  </si>
  <si>
    <t>CM Storm Trigger</t>
  </si>
  <si>
    <t>#2759</t>
  </si>
  <si>
    <t>1.27x</t>
  </si>
  <si>
    <t>Logitech G903S</t>
  </si>
  <si>
    <t>osu!logo mousepad</t>
  </si>
  <si>
    <t>2.37x</t>
  </si>
  <si>
    <t>A4Tech Bloody Blazing A70</t>
  </si>
  <si>
    <t>Zalman ZM-K500</t>
  </si>
  <si>
    <t>#868</t>
  </si>
  <si>
    <t>#3273</t>
  </si>
  <si>
    <t>1.78x</t>
  </si>
  <si>
    <t>#1709</t>
  </si>
  <si>
    <t>Razer Vespula</t>
  </si>
  <si>
    <t>#1048</t>
  </si>
  <si>
    <t>36x27?</t>
  </si>
  <si>
    <t>Vortex Type F</t>
  </si>
  <si>
    <t>#911</t>
  </si>
  <si>
    <t>Lenovo</t>
  </si>
  <si>
    <t>AULA Reaper</t>
  </si>
  <si>
    <t>#6670</t>
  </si>
  <si>
    <t>#12627</t>
  </si>
  <si>
    <t>#3019</t>
  </si>
  <si>
    <t>11/11 Off</t>
  </si>
  <si>
    <t>2.0x</t>
  </si>
  <si>
    <t>11x9</t>
  </si>
  <si>
    <t>Anne Pro RGB</t>
  </si>
  <si>
    <t>Gatereon Browns</t>
  </si>
  <si>
    <t>#3357</t>
  </si>
  <si>
    <t>1.76x</t>
  </si>
  <si>
    <t>21x15</t>
  </si>
  <si>
    <t>Playmax Surface 3</t>
  </si>
  <si>
    <t>#2193</t>
  </si>
  <si>
    <t>Razer Goliathus Alpha Control</t>
  </si>
  <si>
    <t>Corsair Harpoon Wireless RGB</t>
  </si>
  <si>
    <t>Asus ROG Sheath</t>
  </si>
  <si>
    <t>Pixart PMW3325</t>
  </si>
  <si>
    <t>Corsair K95 Platinum / Amusing Keypad</t>
  </si>
  <si>
    <t>Silver / Black</t>
  </si>
  <si>
    <t>Bloody Specter Claw</t>
  </si>
  <si>
    <t>Corsair K70 RGB Rapidfire</t>
  </si>
  <si>
    <t>#2787</t>
  </si>
  <si>
    <t>#1471</t>
  </si>
  <si>
    <t>Genius NS-6010</t>
  </si>
  <si>
    <t>#1080</t>
  </si>
  <si>
    <t>FILCO Majestouch-2 Ninja</t>
  </si>
  <si>
    <t>#5364</t>
  </si>
  <si>
    <t>XtremeGaming mousepad</t>
  </si>
  <si>
    <t>AVF-AKB-GK1</t>
  </si>
  <si>
    <t>[ Chaos ]</t>
  </si>
  <si>
    <t>3.4x</t>
  </si>
  <si>
    <t>1600x1024?</t>
  </si>
  <si>
    <t>25x19?</t>
  </si>
  <si>
    <t>#4474</t>
  </si>
  <si>
    <t>magax</t>
  </si>
  <si>
    <t>A4Tech X7 X-710BK</t>
  </si>
  <si>
    <t>-Kiichirou-</t>
  </si>
  <si>
    <t>[Aumoa]</t>
  </si>
  <si>
    <t>#null</t>
  </si>
  <si>
    <t>133mm</t>
  </si>
  <si>
    <t>Roccat Suora TK</t>
  </si>
  <si>
    <t>#3332</t>
  </si>
  <si>
    <t>1650x1080</t>
  </si>
  <si>
    <t>Azza Gaming Keyboard</t>
  </si>
  <si>
    <t>#1188</t>
  </si>
  <si>
    <t>Circular</t>
  </si>
  <si>
    <t>Ranks updated regularly, thanks to Kirinya for making a script! | Know someone who is not on this list? Send a pm to I Give Up, NixXSkate, or _postal on forum or in-game | #neverforget Angelsim global rank #1 on 8th - 21st October 2016</t>
  </si>
  <si>
    <t>#12837</t>
  </si>
  <si>
    <t>#10049</t>
  </si>
  <si>
    <t>#10073</t>
  </si>
  <si>
    <t>#10077</t>
  </si>
  <si>
    <t>Razer Naga 2012</t>
  </si>
  <si>
    <t>Philips PLN-2032</t>
  </si>
  <si>
    <t>134g</t>
  </si>
  <si>
    <t>Das Keyboard Model S</t>
  </si>
  <si>
    <t>#10096</t>
  </si>
  <si>
    <t>#10097</t>
  </si>
  <si>
    <t>50x38</t>
  </si>
  <si>
    <t>A4Tech Bloody V8m</t>
  </si>
  <si>
    <t>Gembird MP-GAME-S</t>
  </si>
  <si>
    <t>Pixart PAW3305</t>
  </si>
  <si>
    <t>144g</t>
  </si>
  <si>
    <t>82mm</t>
  </si>
  <si>
    <t>#10206</t>
  </si>
  <si>
    <t>Steelseries Sensei</t>
  </si>
  <si>
    <t>Func KB 460</t>
  </si>
  <si>
    <t>#10214</t>
  </si>
  <si>
    <t>#10276</t>
  </si>
  <si>
    <t>no name leatherette</t>
  </si>
  <si>
    <t>Logitech K260</t>
  </si>
  <si>
    <t>#10345</t>
  </si>
  <si>
    <t>#10374</t>
  </si>
  <si>
    <t>#10456</t>
  </si>
  <si>
    <t>#10513</t>
  </si>
  <si>
    <t>#10526</t>
  </si>
  <si>
    <t>1400x1050</t>
  </si>
  <si>
    <t>#10530</t>
  </si>
  <si>
    <t>#10543</t>
  </si>
  <si>
    <t>#10551</t>
  </si>
  <si>
    <t>#10633</t>
  </si>
  <si>
    <t>Speedlink Decus</t>
  </si>
  <si>
    <t>#10683</t>
  </si>
  <si>
    <t>#10697</t>
  </si>
  <si>
    <t>#10844</t>
  </si>
  <si>
    <t>#10858</t>
  </si>
  <si>
    <t>Pixart SDNS-3059</t>
  </si>
  <si>
    <t>#10956</t>
  </si>
  <si>
    <t>950dpi</t>
  </si>
  <si>
    <t>Laptop keyboard</t>
  </si>
  <si>
    <t>Rubber dome</t>
  </si>
  <si>
    <t>#10974</t>
  </si>
  <si>
    <t>#11002</t>
  </si>
  <si>
    <t>#11047</t>
  </si>
  <si>
    <t>Corsair Sabre</t>
  </si>
  <si>
    <t>Corsair MM 400</t>
  </si>
  <si>
    <t>#11048</t>
  </si>
  <si>
    <t>#11082</t>
  </si>
  <si>
    <t>#11084</t>
  </si>
  <si>
    <t>78x59</t>
  </si>
  <si>
    <t>Microsoft Wireless 4000</t>
  </si>
  <si>
    <t>#11201</t>
  </si>
  <si>
    <t>#11224</t>
  </si>
  <si>
    <t>#11266</t>
  </si>
  <si>
    <t>Blackweb Gaming</t>
  </si>
  <si>
    <t>#11336</t>
  </si>
  <si>
    <t>#11353</t>
  </si>
  <si>
    <t>Razer DeathAdder 3.5G (Left)</t>
  </si>
  <si>
    <t>#11401</t>
  </si>
  <si>
    <t>#11462</t>
  </si>
  <si>
    <t>Steelseries Kana v2 White</t>
  </si>
  <si>
    <t>FoxXRay MagicLock</t>
  </si>
  <si>
    <t>#11506</t>
  </si>
  <si>
    <t>#11527</t>
  </si>
  <si>
    <t>#11532</t>
  </si>
  <si>
    <t>#11566</t>
  </si>
  <si>
    <t>#11614</t>
  </si>
  <si>
    <t>#11618</t>
  </si>
  <si>
    <t>#11628</t>
  </si>
  <si>
    <t>#10597</t>
  </si>
  <si>
    <t>Logitech G900</t>
  </si>
  <si>
    <t>#11714</t>
  </si>
  <si>
    <t>#11901</t>
  </si>
  <si>
    <t>#11911</t>
  </si>
  <si>
    <t>#11983</t>
  </si>
  <si>
    <t>#10012</t>
  </si>
  <si>
    <t>QPad MK-70</t>
  </si>
  <si>
    <t>#12021</t>
  </si>
  <si>
    <t>#12151</t>
  </si>
  <si>
    <t>#12160</t>
  </si>
  <si>
    <t xml:space="preserve">Rubber dome </t>
  </si>
  <si>
    <t>#12204</t>
  </si>
  <si>
    <t>Steelseries 6gv2</t>
  </si>
  <si>
    <t>1280x768~1920x1200</t>
  </si>
  <si>
    <t>33x24~51x38</t>
  </si>
  <si>
    <t>GIGABYTE GM-M8000X</t>
  </si>
  <si>
    <t>1600x800</t>
  </si>
  <si>
    <t>6D Gaming Mouse</t>
  </si>
  <si>
    <t>#12354</t>
  </si>
  <si>
    <t>2350dpi</t>
  </si>
  <si>
    <t>0.73x</t>
  </si>
  <si>
    <t>Logitech g502</t>
  </si>
  <si>
    <t>iXCC Gaming Mouse Pad</t>
  </si>
  <si>
    <t>#12381</t>
  </si>
  <si>
    <t>1.5x</t>
  </si>
  <si>
    <t>Microsoft WMO 1.1a</t>
  </si>
  <si>
    <t>#12386</t>
  </si>
  <si>
    <t>#12441</t>
  </si>
  <si>
    <t>#12589</t>
  </si>
  <si>
    <t>#12665</t>
  </si>
  <si>
    <t>#12791</t>
  </si>
  <si>
    <t>14x11?</t>
  </si>
  <si>
    <t>i-rocks KR-6170</t>
  </si>
  <si>
    <t>#12813</t>
  </si>
  <si>
    <t>#12897</t>
  </si>
  <si>
    <t>#12924</t>
  </si>
  <si>
    <t>3100dpi</t>
  </si>
  <si>
    <t>a sweater</t>
  </si>
  <si>
    <t>#12962</t>
  </si>
  <si>
    <t>#12989</t>
  </si>
  <si>
    <t>#13064</t>
  </si>
  <si>
    <t>#13077</t>
  </si>
  <si>
    <t>#13092</t>
  </si>
  <si>
    <t>#13180</t>
  </si>
  <si>
    <t>#13373</t>
  </si>
  <si>
    <t>#13376</t>
  </si>
  <si>
    <t>#13475</t>
  </si>
  <si>
    <t>#13488</t>
  </si>
  <si>
    <t>#13494</t>
  </si>
  <si>
    <t>#13581</t>
  </si>
  <si>
    <t>1.5~1.7x</t>
  </si>
  <si>
    <t>36x27~41x30</t>
  </si>
  <si>
    <t>Corsair K60</t>
  </si>
  <si>
    <t>#13594</t>
  </si>
  <si>
    <t>#13738</t>
  </si>
  <si>
    <t>#13798</t>
  </si>
  <si>
    <t>#13854</t>
  </si>
  <si>
    <t>#21296</t>
  </si>
  <si>
    <t>#14141</t>
  </si>
  <si>
    <t>Steelseries Sensei Raw</t>
  </si>
  <si>
    <t>HyperX Fury Large</t>
  </si>
  <si>
    <t>#14166</t>
  </si>
  <si>
    <t>#14280</t>
  </si>
  <si>
    <t>#14342</t>
  </si>
  <si>
    <t>#21851</t>
  </si>
  <si>
    <t>#14531</t>
  </si>
  <si>
    <t>C3 Tech</t>
  </si>
  <si>
    <t>Logitech G100s</t>
  </si>
  <si>
    <t>#14620</t>
  </si>
  <si>
    <t>#15111</t>
  </si>
  <si>
    <t>Cougar MINOS X3</t>
  </si>
  <si>
    <t>Quad fab</t>
  </si>
  <si>
    <t>#15289</t>
  </si>
  <si>
    <t>#15719</t>
  </si>
  <si>
    <t>45x34</t>
  </si>
  <si>
    <t>Logitech MX310</t>
  </si>
  <si>
    <t>cheap mousepad</t>
  </si>
  <si>
    <t>#16533</t>
  </si>
  <si>
    <t>9/11 Off</t>
  </si>
  <si>
    <t>106x80 (?????)</t>
  </si>
  <si>
    <t>#16734</t>
  </si>
  <si>
    <t>Steelseries S&amp;S</t>
  </si>
  <si>
    <t>FILCO Majestouch</t>
  </si>
  <si>
    <t>#17076</t>
  </si>
  <si>
    <t>#17289</t>
  </si>
  <si>
    <t>#17755</t>
  </si>
  <si>
    <t>#17824</t>
  </si>
  <si>
    <t>#18015</t>
  </si>
  <si>
    <t>#18092</t>
  </si>
  <si>
    <t>1154x864</t>
  </si>
  <si>
    <t>#10006</t>
  </si>
  <si>
    <t>#10113</t>
  </si>
  <si>
    <t>Glorious XL</t>
  </si>
  <si>
    <t>#10170</t>
  </si>
  <si>
    <t>Zowie EC-B</t>
  </si>
  <si>
    <t>Deck Hassium Pro</t>
  </si>
  <si>
    <t>#10195</t>
  </si>
  <si>
    <t>Asus Echelon</t>
  </si>
  <si>
    <t>Red, Black, Brown</t>
  </si>
  <si>
    <t>#10218</t>
  </si>
  <si>
    <t>Mouse/KB?</t>
  </si>
  <si>
    <t>Elecom EX-G</t>
  </si>
  <si>
    <t>Elecom MP-GAME1-M</t>
  </si>
  <si>
    <t>#10225</t>
  </si>
  <si>
    <t>HyperX Fury Speed</t>
  </si>
  <si>
    <t>#10251</t>
  </si>
  <si>
    <t>#10308</t>
  </si>
  <si>
    <t>Lenovo N100 (Optical)</t>
  </si>
  <si>
    <t>iss</t>
  </si>
  <si>
    <t>#10314</t>
  </si>
  <si>
    <t>#10396</t>
  </si>
  <si>
    <t>#10397</t>
  </si>
  <si>
    <t>#10507</t>
  </si>
  <si>
    <t>DREAMMACHINES DM</t>
  </si>
  <si>
    <t>#10519</t>
  </si>
  <si>
    <t>#10573</t>
  </si>
  <si>
    <t>#10602</t>
  </si>
  <si>
    <t>#10645</t>
  </si>
  <si>
    <t>#10685</t>
  </si>
  <si>
    <t>Roccat Kone AIMO</t>
  </si>
  <si>
    <t>Pixart PMW3361</t>
  </si>
  <si>
    <t>132g</t>
  </si>
  <si>
    <t>130mm</t>
  </si>
  <si>
    <t>74mm</t>
  </si>
  <si>
    <t>#10687</t>
  </si>
  <si>
    <t>Razer Mamba Elite</t>
  </si>
  <si>
    <t>Filco Majestouch-2</t>
  </si>
  <si>
    <t>#10733</t>
  </si>
  <si>
    <t>#10748</t>
  </si>
  <si>
    <t>#10801</t>
  </si>
  <si>
    <t>#10812</t>
  </si>
  <si>
    <t>0.74x</t>
  </si>
  <si>
    <t>FILCO Majestouch-2 TKL</t>
  </si>
  <si>
    <t>#10958</t>
  </si>
  <si>
    <t>#11005</t>
  </si>
  <si>
    <t>Dream Machines DM1 Pro S</t>
  </si>
  <si>
    <t>#11095</t>
  </si>
  <si>
    <t>3200dpi</t>
  </si>
  <si>
    <t>Turtle Beach Drift</t>
  </si>
  <si>
    <t>#11102</t>
  </si>
  <si>
    <t>#11111</t>
  </si>
  <si>
    <t>#11121</t>
  </si>
  <si>
    <t>Logitech Pro</t>
  </si>
  <si>
    <t>54x40~61x46</t>
  </si>
  <si>
    <t>#11205</t>
  </si>
  <si>
    <t>#11260</t>
  </si>
  <si>
    <t>InteliMouse 3.0</t>
  </si>
  <si>
    <t>Steelseries QcK Medium</t>
  </si>
  <si>
    <t>#11285</t>
  </si>
  <si>
    <t>Genesis Thor 300 TKL</t>
  </si>
  <si>
    <t>#11294</t>
  </si>
  <si>
    <t>ViewSonic MU664</t>
  </si>
  <si>
    <t>#11300</t>
  </si>
  <si>
    <t>Sharkoon Fireglider</t>
  </si>
  <si>
    <t>Sharkoon Skiller Pro</t>
  </si>
  <si>
    <t>bedsheet</t>
  </si>
  <si>
    <t>#11369</t>
  </si>
  <si>
    <t>Maxtill Tron G70</t>
  </si>
  <si>
    <t>Large no name</t>
  </si>
  <si>
    <t>Omron</t>
  </si>
  <si>
    <t>Archive 106</t>
  </si>
  <si>
    <t>#11399</t>
  </si>
  <si>
    <t>#11429</t>
  </si>
  <si>
    <t>1.30x</t>
  </si>
  <si>
    <t>E-Blue Cobra II</t>
  </si>
  <si>
    <t>James Donkey 332</t>
  </si>
  <si>
    <t>#11455</t>
  </si>
  <si>
    <t>#11476</t>
  </si>
  <si>
    <t>#11515</t>
  </si>
  <si>
    <t>#11517</t>
  </si>
  <si>
    <t>#11539</t>
  </si>
  <si>
    <t>Xtech XTM-410</t>
  </si>
  <si>
    <t>Argom Tech Combat Oversize Gaming Mouse Pad</t>
  </si>
  <si>
    <t>#11633</t>
  </si>
  <si>
    <t>#11642</t>
  </si>
  <si>
    <t>#11661</t>
  </si>
  <si>
    <t>Razer DeathAdder 1800</t>
  </si>
  <si>
    <t>TOMOKO I-800</t>
  </si>
  <si>
    <t>#11691</t>
  </si>
  <si>
    <t>Steelseries QcK+ Limited</t>
  </si>
  <si>
    <t>#11724</t>
  </si>
  <si>
    <t>Roccat Kone Pure Optical</t>
  </si>
  <si>
    <t>#11970</t>
  </si>
  <si>
    <t>#12011</t>
  </si>
  <si>
    <t>#12052</t>
  </si>
  <si>
    <t>Cherry MX-Board 3.0</t>
  </si>
  <si>
    <t>#12135</t>
  </si>
  <si>
    <t>#12147</t>
  </si>
  <si>
    <t>Cougar Arena Extended</t>
  </si>
  <si>
    <t>Romer G</t>
  </si>
  <si>
    <t>#12152</t>
  </si>
  <si>
    <t>Natec Hake</t>
  </si>
  <si>
    <t>#12285</t>
  </si>
  <si>
    <t>#12343</t>
  </si>
  <si>
    <t>Logicool G304r</t>
  </si>
  <si>
    <t>Qisan Keypad</t>
  </si>
  <si>
    <t>#12425</t>
  </si>
  <si>
    <t>#12513</t>
  </si>
  <si>
    <t>#12633</t>
  </si>
  <si>
    <t>#12638</t>
  </si>
  <si>
    <t>19x14</t>
  </si>
  <si>
    <t>Steelseries G6v2</t>
  </si>
  <si>
    <t>#12657</t>
  </si>
  <si>
    <t>1840dpi</t>
  </si>
  <si>
    <t>Pixart PMW3310H</t>
  </si>
  <si>
    <t>Corsair Vengeance K75</t>
  </si>
  <si>
    <t>#12902</t>
  </si>
  <si>
    <t>#12933</t>
  </si>
  <si>
    <t>#12946</t>
  </si>
  <si>
    <t>#13006</t>
  </si>
  <si>
    <t>Logitech G500S</t>
  </si>
  <si>
    <t>Avago ADNS-S9808</t>
  </si>
  <si>
    <t>#13045</t>
  </si>
  <si>
    <t>Razer DeathAdder ?</t>
  </si>
  <si>
    <t>SteelSeries Dex</t>
  </si>
  <si>
    <t>#13052</t>
  </si>
  <si>
    <t>#13381</t>
  </si>
  <si>
    <t>0.67x</t>
  </si>
  <si>
    <t>custom</t>
  </si>
  <si>
    <t>#13382</t>
  </si>
  <si>
    <t>#13387</t>
  </si>
  <si>
    <t>Sumtax Gaming</t>
  </si>
  <si>
    <t>#13392</t>
  </si>
  <si>
    <t>Razer Gholiatus Control</t>
  </si>
  <si>
    <t>Corsair Strafe Silent</t>
  </si>
  <si>
    <t>#13419</t>
  </si>
  <si>
    <t>#13431</t>
  </si>
  <si>
    <t>#13439</t>
  </si>
  <si>
    <t>#13513</t>
  </si>
  <si>
    <t>#13525</t>
  </si>
  <si>
    <t>#13789</t>
  </si>
  <si>
    <t>#13792</t>
  </si>
  <si>
    <t>#13890</t>
  </si>
  <si>
    <t>#13889</t>
  </si>
  <si>
    <t>#13965</t>
  </si>
  <si>
    <t>#14028</t>
  </si>
  <si>
    <t>Razer Goliathus Fragged Omega - Control Edition</t>
  </si>
  <si>
    <t>109g</t>
  </si>
  <si>
    <t>#14120</t>
  </si>
  <si>
    <t>#14446</t>
  </si>
  <si>
    <t>#597</t>
  </si>
  <si>
    <t>#14483</t>
  </si>
  <si>
    <t>#598</t>
  </si>
  <si>
    <t>#14556</t>
  </si>
  <si>
    <t>#599</t>
  </si>
  <si>
    <t>#14626</t>
  </si>
  <si>
    <t>#600</t>
  </si>
  <si>
    <t>#14654</t>
  </si>
  <si>
    <t>.85x~1.0x</t>
  </si>
  <si>
    <t>Logitech G400s</t>
  </si>
  <si>
    <t>#601</t>
  </si>
  <si>
    <t>#14923</t>
  </si>
  <si>
    <t>3300dpi</t>
  </si>
  <si>
    <t>Silent</t>
  </si>
  <si>
    <t>#602</t>
  </si>
  <si>
    <t>#14968</t>
  </si>
  <si>
    <t>#603</t>
  </si>
  <si>
    <t>#15057</t>
  </si>
  <si>
    <t>#604</t>
  </si>
  <si>
    <t>#15069</t>
  </si>
  <si>
    <t>#605</t>
  </si>
  <si>
    <t>#15083</t>
  </si>
  <si>
    <t>#606</t>
  </si>
  <si>
    <t>Steelseries Qck Vector</t>
  </si>
  <si>
    <t>#607</t>
  </si>
  <si>
    <t>Ducky One DKON1687 TKL PBT</t>
  </si>
  <si>
    <t>#608</t>
  </si>
  <si>
    <t>#15260</t>
  </si>
  <si>
    <t>1366x798</t>
  </si>
  <si>
    <t>COUGAR SPEED 2</t>
  </si>
  <si>
    <t>notebook keyboard</t>
  </si>
  <si>
    <t>#609</t>
  </si>
  <si>
    <t>#15307</t>
  </si>
  <si>
    <t>#610</t>
  </si>
  <si>
    <t>#15367</t>
  </si>
  <si>
    <t>#611</t>
  </si>
  <si>
    <t>#15424</t>
  </si>
  <si>
    <t>MSI Sistorm</t>
  </si>
  <si>
    <t>#612</t>
  </si>
  <si>
    <t>#613</t>
  </si>
  <si>
    <t>#15685</t>
  </si>
  <si>
    <t>#614</t>
  </si>
  <si>
    <t>#615</t>
  </si>
  <si>
    <t>#16142</t>
  </si>
  <si>
    <t>#616</t>
  </si>
  <si>
    <t>#617</t>
  </si>
  <si>
    <t>#618</t>
  </si>
  <si>
    <t>#619</t>
  </si>
  <si>
    <t>#17530</t>
  </si>
  <si>
    <t>#620</t>
  </si>
  <si>
    <t>#621</t>
  </si>
  <si>
    <t>#622</t>
  </si>
  <si>
    <t>#623</t>
  </si>
  <si>
    <t>#624</t>
  </si>
  <si>
    <t>#42091</t>
  </si>
  <si>
    <t>HyperX Fury S Pro Speed</t>
  </si>
  <si>
    <t>Kailh Silver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</si>
</sst>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&quot;dpi&quot;"/>
    <numFmt numFmtId="165" formatCode="0&quot;Hz&quot;"/>
    <numFmt numFmtId="166" formatCode="0&quot;g&quot;"/>
    <numFmt numFmtId="167" formatCode="0&quot;mm&quot;"/>
    <numFmt numFmtId="168" formatCode="mmmm yyyy"/>
    <numFmt numFmtId="169" formatCode="dd/mm/yyyy"/>
    <numFmt numFmtId="170" formatCode="#&quot;dpi&quot;"/>
    <numFmt numFmtId="171" formatCode="#&quot;Hz&quot;"/>
    <numFmt numFmtId="172" formatCode="#&quot;g&quot;"/>
    <numFmt numFmtId="173" formatCode="#&quot;mm&quot;"/>
  </numFmts>
  <fonts count="56">
    <font>
      <sz val="10.0"/>
      <color rgb="FF000000"/>
      <name val="Arial"/>
    </font>
    <font/>
    <font>
      <name val="Arial"/>
    </font>
    <font>
      <b/>
      <u/>
      <color rgb="FF0000FF"/>
      <name val="Arial"/>
    </font>
    <font>
      <b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0000FF"/>
    </font>
    <font>
      <b/>
      <u/>
      <color rgb="FF1155CC"/>
      <name val="Arial"/>
    </font>
    <font>
      <b/>
      <u/>
      <color rgb="FF1155CC"/>
      <name val="Arial"/>
    </font>
    <font>
      <color rgb="FF000000"/>
      <name val="Arial"/>
    </font>
    <font>
      <b/>
      <u/>
      <color rgb="FF0000FF"/>
      <name val="Arial"/>
    </font>
    <font>
      <b/>
    </font>
    <font>
      <b/>
      <u/>
      <color rgb="FF1155CC"/>
      <name val="Arial"/>
    </font>
    <font>
      <b/>
      <u/>
      <color rgb="FF1155CC"/>
      <name val="Arial"/>
    </font>
    <font>
      <b/>
      <u/>
      <color rgb="FF0000FF"/>
    </font>
    <font>
      <b/>
      <u/>
      <color rgb="FF1155CC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color rgb="FF999999"/>
      <name val="Arial"/>
    </font>
    <font>
      <b/>
      <u/>
      <color rgb="FF0000FF"/>
    </font>
    <font>
      <b/>
      <u/>
      <color rgb="FF1155CC"/>
      <name val="Arial"/>
    </font>
    <font>
      <sz val="11.0"/>
      <color rgb="FF555555"/>
      <name val="&quot;Exo 2&quot;"/>
    </font>
    <font>
      <b/>
      <u/>
      <color rgb="FF0000FF"/>
    </font>
    <font>
      <b/>
      <color rgb="FFFF0000"/>
    </font>
    <font>
      <sz val="10.0"/>
      <name val="Arial"/>
    </font>
    <font>
      <color rgb="FFB7B7B7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0000FF"/>
    </font>
    <font>
      <b/>
      <u/>
      <color rgb="FF0000FF"/>
    </font>
    <font>
      <b/>
      <u/>
      <color rgb="FF1155CC"/>
      <name val="Arial"/>
    </font>
    <font>
      <color rgb="FFCCCCCC"/>
      <name val="Arial"/>
    </font>
    <font>
      <b/>
      <u/>
      <color rgb="FF313131"/>
    </font>
    <font>
      <color rgb="FF313131"/>
    </font>
    <font>
      <b/>
      <u/>
    </font>
    <font>
      <u/>
      <color rgb="FF0000FF"/>
      <name val="Arial"/>
    </font>
    <font>
      <b/>
      <u/>
      <color rgb="FF1155CC"/>
      <name val="Arial"/>
    </font>
    <font>
      <b/>
      <color rgb="FF000000"/>
      <name val="Arial"/>
    </font>
    <font>
      <b/>
      <u/>
      <color rgb="FF0000FF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</font>
    <font>
      <b/>
      <u/>
      <color rgb="FF000000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8">
    <border/>
    <border>
      <bottom style="thin">
        <color rgb="FF000000"/>
      </bottom>
    </border>
    <border>
      <left style="thin">
        <color rgb="FF000000"/>
      </left>
    </border>
    <border>
      <right style="double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vertical="bottom"/>
    </xf>
    <xf borderId="1" fillId="2" fontId="3" numFmtId="1" xfId="0" applyAlignment="1" applyBorder="1" applyFont="1" applyNumberFormat="1">
      <alignment horizontal="left" readingOrder="0" vertical="bottom"/>
    </xf>
    <xf borderId="1" fillId="2" fontId="2" numFmtId="0" xfId="0" applyAlignment="1" applyBorder="1" applyFont="1">
      <alignment horizontal="left" readingOrder="0" vertical="bottom"/>
    </xf>
    <xf borderId="1" fillId="2" fontId="2" numFmtId="164" xfId="0" applyAlignment="1" applyBorder="1" applyFont="1" applyNumberFormat="1">
      <alignment horizontal="left" vertical="bottom"/>
    </xf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center" vertical="bottom"/>
    </xf>
    <xf borderId="1" fillId="2" fontId="2" numFmtId="165" xfId="0" applyAlignment="1" applyBorder="1" applyFont="1" applyNumberFormat="1">
      <alignment horizontal="left" vertical="bottom"/>
    </xf>
    <xf borderId="1" fillId="2" fontId="2" numFmtId="166" xfId="0" applyAlignment="1" applyBorder="1" applyFont="1" applyNumberFormat="1">
      <alignment horizontal="right" vertical="bottom"/>
    </xf>
    <xf borderId="1" fillId="2" fontId="2" numFmtId="167" xfId="0" applyAlignment="1" applyBorder="1" applyFont="1" applyNumberFormat="1">
      <alignment horizontal="left" vertical="bottom"/>
    </xf>
    <xf borderId="2" fillId="3" fontId="4" numFmtId="0" xfId="0" applyAlignment="1" applyBorder="1" applyFill="1" applyFont="1">
      <alignment horizontal="center" vertical="bottom"/>
    </xf>
    <xf borderId="3" fillId="0" fontId="1" numFmtId="0" xfId="0" applyBorder="1" applyFont="1"/>
    <xf borderId="0" fillId="3" fontId="4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4" fillId="0" fontId="1" numFmtId="0" xfId="0" applyBorder="1" applyFont="1"/>
    <xf borderId="5" fillId="3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readingOrder="0" vertical="bottom"/>
    </xf>
    <xf borderId="6" fillId="3" fontId="4" numFmtId="1" xfId="0" applyAlignment="1" applyBorder="1" applyFont="1" applyNumberFormat="1">
      <alignment horizontal="center" readingOrder="0" vertical="bottom"/>
    </xf>
    <xf borderId="6" fillId="3" fontId="4" numFmtId="0" xfId="0" applyAlignment="1" applyBorder="1" applyFont="1">
      <alignment readingOrder="0" vertical="bottom"/>
    </xf>
    <xf borderId="7" fillId="3" fontId="4" numFmtId="0" xfId="0" applyAlignment="1" applyBorder="1" applyFont="1">
      <alignment horizontal="left" vertical="bottom"/>
    </xf>
    <xf borderId="6" fillId="3" fontId="4" numFmtId="164" xfId="0" applyAlignment="1" applyBorder="1" applyFont="1" applyNumberFormat="1">
      <alignment horizontal="center" vertical="bottom"/>
    </xf>
    <xf borderId="6" fillId="3" fontId="5" numFmtId="0" xfId="0" applyAlignment="1" applyBorder="1" applyFont="1">
      <alignment horizontal="right" vertical="bottom"/>
    </xf>
    <xf borderId="6" fillId="3" fontId="4" numFmtId="0" xfId="0" applyAlignment="1" applyBorder="1" applyFont="1">
      <alignment horizontal="right" vertical="bottom"/>
    </xf>
    <xf borderId="6" fillId="3" fontId="4" numFmtId="0" xfId="0" applyAlignment="1" applyBorder="1" applyFont="1">
      <alignment horizontal="center" vertical="bottom"/>
    </xf>
    <xf borderId="6" fillId="3" fontId="4" numFmtId="165" xfId="0" applyAlignment="1" applyBorder="1" applyFont="1" applyNumberFormat="1">
      <alignment horizontal="center" vertical="bottom"/>
    </xf>
    <xf borderId="7" fillId="3" fontId="6" numFmtId="0" xfId="0" applyAlignment="1" applyBorder="1" applyFont="1">
      <alignment horizontal="center" vertical="bottom"/>
    </xf>
    <xf borderId="6" fillId="3" fontId="4" numFmtId="0" xfId="0" applyAlignment="1" applyBorder="1" applyFont="1">
      <alignment vertical="bottom"/>
    </xf>
    <xf borderId="6" fillId="3" fontId="4" numFmtId="166" xfId="0" applyAlignment="1" applyBorder="1" applyFont="1" applyNumberFormat="1">
      <alignment horizontal="right" vertical="bottom"/>
    </xf>
    <xf borderId="6" fillId="3" fontId="4" numFmtId="167" xfId="0" applyAlignment="1" applyBorder="1" applyFont="1" applyNumberFormat="1">
      <alignment horizontal="center" vertical="bottom"/>
    </xf>
    <xf borderId="7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0" fontId="1" numFmtId="168" xfId="0" applyAlignment="1" applyFont="1" applyNumberFormat="1">
      <alignment readingOrder="0"/>
    </xf>
    <xf borderId="0" fillId="0" fontId="2" numFmtId="1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right"/>
    </xf>
    <xf borderId="0" fillId="0" fontId="2" numFmtId="0" xfId="0" applyAlignment="1" applyFont="1">
      <alignment horizontal="left" vertical="bottom"/>
    </xf>
    <xf borderId="0" fillId="0" fontId="9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12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" numFmtId="167" xfId="0" applyAlignment="1" applyFont="1" applyNumberFormat="1">
      <alignment horizontal="right" readingOrder="0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/>
    </xf>
    <xf borderId="0" fillId="0" fontId="1" numFmtId="167" xfId="0" applyFont="1" applyNumberFormat="1"/>
    <xf borderId="0" fillId="0" fontId="1" numFmtId="167" xfId="0" applyAlignment="1" applyFont="1" applyNumberFormat="1">
      <alignment horizontal="right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4" fontId="2" numFmtId="0" xfId="0" applyAlignment="1" applyFill="1" applyFont="1">
      <alignment readingOrder="0" vertical="bottom"/>
    </xf>
    <xf borderId="0" fillId="4" fontId="2" numFmtId="1" xfId="0" applyAlignment="1" applyFont="1" applyNumberFormat="1">
      <alignment horizontal="right" readingOrder="0" vertical="bottom"/>
    </xf>
    <xf borderId="0" fillId="4" fontId="17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ill="1" applyFont="1">
      <alignment readingOrder="0" vertical="bottom"/>
    </xf>
    <xf borderId="0" fillId="5" fontId="2" numFmtId="1" xfId="0" applyAlignment="1" applyFont="1" applyNumberFormat="1">
      <alignment horizontal="right" readingOrder="0" vertical="bottom"/>
    </xf>
    <xf borderId="0" fillId="5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2" numFmtId="166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right"/>
    </xf>
    <xf borderId="0" fillId="6" fontId="0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1" numFmtId="1" xfId="0" applyAlignment="1" applyFont="1" applyNumberFormat="1">
      <alignment readingOrder="0"/>
    </xf>
    <xf borderId="0" fillId="5" fontId="21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2" numFmtId="0" xfId="0" applyAlignment="1" applyFont="1">
      <alignment readingOrder="0" vertical="bottom"/>
    </xf>
    <xf borderId="0" fillId="0" fontId="1" numFmtId="49" xfId="0" applyAlignment="1" applyFont="1" applyNumberFormat="1">
      <alignment horizontal="right" readingOrder="0"/>
    </xf>
    <xf borderId="0" fillId="6" fontId="2" numFmtId="0" xfId="0" applyAlignment="1" applyFont="1">
      <alignment readingOrder="0" vertical="bottom"/>
    </xf>
    <xf borderId="0" fillId="6" fontId="23" numFmtId="164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2" numFmtId="0" xfId="0" applyAlignment="1" applyFont="1">
      <alignment horizontal="right" shrinkToFit="0" vertical="bottom" wrapText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0" fillId="4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" numFmtId="164" xfId="0" applyAlignment="1" applyFont="1" applyNumberFormat="1">
      <alignment horizontal="left" readingOrder="0" vertical="bottom"/>
    </xf>
    <xf borderId="0" fillId="0" fontId="26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quotePrefix="1"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166" xfId="0" applyFont="1" applyNumberFormat="1"/>
    <xf borderId="0" fillId="0" fontId="27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0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5" fontId="28" numFmtId="0" xfId="0" applyAlignment="1" applyFont="1">
      <alignment readingOrder="0" vertical="bottom"/>
    </xf>
    <xf borderId="0" fillId="5" fontId="29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170" xfId="0" applyAlignment="1" applyFont="1" applyNumberFormat="1">
      <alignment horizontal="right" readingOrder="0"/>
    </xf>
    <xf borderId="0" fillId="0" fontId="1" numFmtId="171" xfId="0" applyAlignment="1" applyFont="1" applyNumberFormat="1">
      <alignment horizontal="right"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5" fontId="30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1" numFmtId="1" xfId="0" applyAlignment="1" applyFont="1" applyNumberFormat="1">
      <alignment readingOrder="0"/>
    </xf>
    <xf borderId="0" fillId="5" fontId="31" numFmtId="0" xfId="0" applyAlignment="1" applyFont="1">
      <alignment vertical="bottom"/>
    </xf>
    <xf borderId="0" fillId="0" fontId="1" numFmtId="164" xfId="0" applyFont="1" applyNumberFormat="1"/>
    <xf borderId="0" fillId="0" fontId="1" numFmtId="165" xfId="0" applyFont="1" applyNumberFormat="1"/>
    <xf borderId="0" fillId="5" fontId="32" numFmtId="0" xfId="0" applyAlignment="1" applyFont="1">
      <alignment readingOrder="0"/>
    </xf>
    <xf borderId="0" fillId="0" fontId="3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5" fontId="2" numFmtId="1" xfId="0" applyAlignment="1" applyFont="1" applyNumberFormat="1">
      <alignment readingOrder="0" vertical="bottom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vertical="bottom"/>
    </xf>
    <xf borderId="0" fillId="0" fontId="2" numFmtId="168" xfId="0" applyAlignment="1" applyFont="1" applyNumberFormat="1">
      <alignment horizontal="right" readingOrder="0" vertical="bottom"/>
    </xf>
    <xf borderId="0" fillId="0" fontId="36" numFmtId="0" xfId="0" applyAlignment="1" applyFont="1">
      <alignment readingOrder="0"/>
    </xf>
    <xf borderId="0" fillId="0" fontId="37" numFmtId="0" xfId="0" applyAlignment="1" applyFont="1">
      <alignment horizontal="right" readingOrder="0"/>
    </xf>
    <xf borderId="0" fillId="0" fontId="37" numFmtId="0" xfId="0" applyAlignment="1" applyFont="1">
      <alignment horizontal="center" readingOrder="0"/>
    </xf>
    <xf borderId="0" fillId="0" fontId="37" numFmtId="0" xfId="0" applyAlignment="1" applyFont="1">
      <alignment horizontal="left" readingOrder="0"/>
    </xf>
    <xf borderId="0" fillId="0" fontId="37" numFmtId="168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 vertical="bottom"/>
    </xf>
    <xf borderId="0" fillId="6" fontId="2" numFmtId="164" xfId="0" applyAlignment="1" applyFont="1" applyNumberFormat="1">
      <alignment horizontal="right" readingOrder="0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center" vertical="bottom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horizontal="left" vertical="bottom"/>
    </xf>
    <xf borderId="0" fillId="6" fontId="2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38" numFmtId="0" xfId="0" applyAlignment="1" applyFont="1">
      <alignment readingOrder="0"/>
    </xf>
    <xf borderId="0" fillId="7" fontId="25" numFmtId="0" xfId="0" applyAlignment="1" applyFill="1" applyFont="1">
      <alignment readingOrder="0"/>
    </xf>
    <xf borderId="0" fillId="3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6" fontId="2" numFmtId="0" xfId="0" applyAlignment="1" applyFont="1">
      <alignment readingOrder="0" vertical="bottom"/>
    </xf>
    <xf borderId="0" fillId="6" fontId="2" numFmtId="166" xfId="0" applyAlignment="1" applyFont="1" applyNumberFormat="1">
      <alignment horizontal="right" readingOrder="0" vertical="bottom"/>
    </xf>
    <xf borderId="0" fillId="6" fontId="2" numFmtId="167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66" xfId="0" applyAlignment="1" applyFont="1" applyNumberFormat="1">
      <alignment horizontal="right" vertical="bottom"/>
    </xf>
    <xf borderId="0" fillId="6" fontId="2" numFmtId="167" xfId="0" applyAlignment="1" applyFont="1" applyNumberFormat="1">
      <alignment horizontal="right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center" vertical="bottom"/>
    </xf>
    <xf borderId="0" fillId="6" fontId="2" numFmtId="165" xfId="0" applyAlignment="1" applyFont="1" applyNumberFormat="1">
      <alignment readingOrder="0" vertical="bottom"/>
    </xf>
    <xf borderId="0" fillId="6" fontId="2" numFmtId="0" xfId="0" applyAlignment="1" applyFont="1">
      <alignment horizontal="left" vertical="bottom"/>
    </xf>
    <xf borderId="0" fillId="6" fontId="2" numFmtId="164" xfId="0" applyAlignment="1" applyFont="1" applyNumberForma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center" vertical="bottom"/>
    </xf>
    <xf borderId="0" fillId="6" fontId="2" numFmtId="165" xfId="0" applyAlignment="1" applyFont="1" applyNumberForma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center" readingOrder="0" vertical="bottom"/>
    </xf>
    <xf borderId="0" fillId="6" fontId="39" numFmtId="0" xfId="0" applyAlignment="1" applyFont="1">
      <alignment readingOrder="0" vertical="bottom"/>
    </xf>
    <xf borderId="0" fillId="6" fontId="2" numFmtId="165" xfId="0" applyAlignment="1" applyFont="1" applyNumberFormat="1">
      <alignment readingOrder="0" vertical="bottom"/>
    </xf>
    <xf borderId="0" fillId="6" fontId="2" numFmtId="164" xfId="0" applyAlignment="1" applyFont="1" applyNumberFormat="1">
      <alignment horizontal="left" readingOrder="0" vertical="bottom"/>
    </xf>
    <xf borderId="0" fillId="6" fontId="2" numFmtId="0" xfId="0" applyAlignment="1" applyFont="1">
      <alignment horizontal="right" vertical="bottom"/>
    </xf>
    <xf borderId="0" fillId="6" fontId="2" numFmtId="164" xfId="0" applyAlignment="1" applyFont="1" applyNumberFormat="1">
      <alignment horizontal="right" readingOrder="0" vertical="bottom"/>
    </xf>
    <xf borderId="0" fillId="6" fontId="2" numFmtId="0" xfId="0" applyAlignment="1" applyFont="1">
      <alignment horizontal="center" readingOrder="0" vertical="bottom"/>
    </xf>
    <xf borderId="0" fillId="6" fontId="2" numFmtId="165" xfId="0" applyAlignment="1" applyFont="1" applyNumberFormat="1">
      <alignment horizontal="right" readingOrder="0" vertical="bottom"/>
    </xf>
    <xf borderId="0" fillId="6" fontId="2" numFmtId="167" xfId="0" applyAlignment="1" applyFont="1" applyNumberFormat="1">
      <alignment vertical="bottom"/>
    </xf>
    <xf borderId="0" fillId="6" fontId="10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4" fontId="40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center" vertical="bottom"/>
    </xf>
    <xf borderId="0" fillId="3" fontId="2" numFmtId="165" xfId="0" applyAlignment="1" applyFont="1" applyNumberFormat="1">
      <alignment vertical="bottom"/>
    </xf>
    <xf borderId="0" fillId="3" fontId="2" numFmtId="166" xfId="0" applyAlignment="1" applyFont="1" applyNumberFormat="1">
      <alignment horizontal="right" vertical="bottom"/>
    </xf>
    <xf borderId="0" fillId="3" fontId="2" numFmtId="167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4" fontId="2" numFmtId="1" xfId="0" applyAlignment="1" applyFont="1" applyNumberFormat="1">
      <alignment horizontal="right" vertical="bottom"/>
    </xf>
    <xf borderId="0" fillId="4" fontId="41" numFmtId="0" xfId="0" applyAlignment="1" applyFont="1">
      <alignment readingOrder="0" vertical="bottom"/>
    </xf>
    <xf borderId="0" fillId="0" fontId="42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43" numFmtId="0" xfId="0" applyAlignment="1" applyFont="1">
      <alignment readingOrder="0" vertical="bottom"/>
    </xf>
    <xf borderId="0" fillId="0" fontId="44" numFmtId="0" xfId="0" applyAlignment="1" applyFont="1">
      <alignment readingOrder="0" vertical="bottom"/>
    </xf>
    <xf borderId="0" fillId="5" fontId="1" numFmtId="1" xfId="0" applyFont="1" applyNumberFormat="1"/>
    <xf borderId="0" fillId="5" fontId="45" numFmtId="0" xfId="0" applyAlignment="1" applyFont="1">
      <alignment readingOrder="0" vertical="bottom"/>
    </xf>
    <xf borderId="0" fillId="0" fontId="46" numFmtId="0" xfId="0" applyAlignment="1" applyFont="1">
      <alignment readingOrder="0"/>
    </xf>
    <xf borderId="0" fillId="4" fontId="41" numFmtId="0" xfId="0" applyAlignment="1" applyFont="1">
      <alignment readingOrder="0" vertical="bottom"/>
    </xf>
    <xf borderId="0" fillId="5" fontId="47" numFmtId="0" xfId="0" applyAlignment="1" applyFont="1">
      <alignment readingOrder="0"/>
    </xf>
    <xf borderId="0" fillId="0" fontId="12" numFmtId="0" xfId="0" applyFont="1"/>
    <xf borderId="0" fillId="0" fontId="1" numFmtId="1" xfId="0" applyFont="1" applyNumberFormat="1"/>
    <xf borderId="1" fillId="2" fontId="4" numFmtId="0" xfId="0" applyAlignment="1" applyBorder="1" applyFont="1">
      <alignment horizontal="left" readingOrder="0" vertical="bottom"/>
    </xf>
    <xf borderId="6" fillId="3" fontId="4" numFmtId="1" xfId="0" applyAlignment="1" applyBorder="1" applyFont="1" applyNumberFormat="1">
      <alignment horizontal="center" vertical="bottom"/>
    </xf>
    <xf borderId="0" fillId="0" fontId="2" numFmtId="168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48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49" numFmtId="0" xfId="0" applyAlignment="1" applyFon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2" numFmtId="1" xfId="0" applyAlignment="1" applyFont="1" applyNumberFormat="1">
      <alignment horizontal="right" vertical="bottom"/>
    </xf>
    <xf borderId="0" fillId="0" fontId="50" numFmtId="0" xfId="0" applyAlignment="1" applyFont="1">
      <alignment vertical="bottom"/>
    </xf>
    <xf borderId="0" fillId="6" fontId="2" numFmtId="164" xfId="0" applyAlignment="1" applyFont="1" applyNumberFormat="1">
      <alignment horizontal="right" vertical="bottom"/>
    </xf>
    <xf borderId="0" fillId="6" fontId="2" numFmtId="165" xfId="0" applyAlignment="1" applyFont="1" applyNumberFormat="1">
      <alignment horizontal="right" vertical="bottom"/>
    </xf>
    <xf borderId="0" fillId="6" fontId="2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1" xfId="0" applyAlignment="1" applyFont="1" applyNumberFormat="1">
      <alignment horizontal="right" vertical="bottom"/>
    </xf>
    <xf borderId="0" fillId="5" fontId="51" numFmtId="0" xfId="0" applyAlignment="1" applyFont="1">
      <alignment vertical="bottom"/>
    </xf>
    <xf borderId="0" fillId="4" fontId="2" numFmtId="1" xfId="0" applyAlignment="1" applyFont="1" applyNumberFormat="1">
      <alignment horizontal="right" vertical="bottom"/>
    </xf>
    <xf borderId="0" fillId="4" fontId="5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53" numFmtId="0" xfId="0" applyAlignment="1" applyFont="1">
      <alignment vertical="bottom"/>
    </xf>
    <xf borderId="0" fillId="6" fontId="2" numFmtId="166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5" fontId="2" numFmtId="1" xfId="0" applyAlignment="1" applyFont="1" applyNumberFormat="1">
      <alignment horizontal="right" vertical="bottom"/>
    </xf>
    <xf borderId="0" fillId="5" fontId="54" numFmtId="0" xfId="0" applyAlignment="1" applyFont="1">
      <alignment vertical="bottom"/>
    </xf>
    <xf borderId="0" fillId="0" fontId="1" numFmtId="168" xfId="0" applyAlignment="1" applyFont="1" applyNumberFormat="1">
      <alignment horizontal="right" readingOrder="0"/>
    </xf>
    <xf borderId="0" fillId="6" fontId="10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55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u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8.14"/>
    <col customWidth="1" min="3" max="3" width="7.29"/>
    <col customWidth="1" min="4" max="4" width="17.14"/>
    <col customWidth="1" min="5" max="5" width="10.71"/>
    <col customWidth="1" min="6" max="6" width="13.43"/>
    <col customWidth="1" min="7" max="7" width="8.14"/>
    <col customWidth="1" min="8" max="8" width="10.43"/>
    <col customWidth="1" min="9" max="9" width="12.57"/>
    <col customWidth="1" min="10" max="10" width="4.71"/>
    <col customWidth="1" min="11" max="11" width="8.29"/>
    <col customWidth="1" min="12" max="12" width="7.71"/>
    <col customWidth="1" min="13" max="13" width="27.14"/>
    <col customWidth="1" min="14" max="14" width="25.71"/>
    <col customWidth="1" min="15" max="15" width="17.0"/>
    <col customWidth="1" min="16" max="16" width="6.57"/>
    <col customWidth="1" min="17" max="19" width="6.86"/>
    <col customWidth="1" min="20" max="20" width="16.71"/>
    <col customWidth="1" min="21" max="21" width="25.43"/>
    <col customWidth="1" min="22" max="22" width="12.86"/>
  </cols>
  <sheetData>
    <row r="1">
      <c r="A1" s="1" t="s">
        <v>0</v>
      </c>
      <c r="B1" s="2"/>
      <c r="C1" s="3" t="str">
        <f>HYPERLINK("https://discord.gg/Fdqpknq","Discord")</f>
        <v>Discord</v>
      </c>
      <c r="D1" s="4" t="s">
        <v>1</v>
      </c>
      <c r="E1" s="2"/>
      <c r="F1" s="5"/>
      <c r="G1" s="6"/>
      <c r="H1" s="6"/>
      <c r="I1" s="6"/>
      <c r="J1" s="7"/>
      <c r="K1" s="8"/>
      <c r="L1" s="2"/>
      <c r="M1" s="2"/>
      <c r="N1" s="2"/>
      <c r="O1" s="2"/>
      <c r="P1" s="9"/>
      <c r="Q1" s="10"/>
      <c r="R1" s="10"/>
      <c r="S1" s="10"/>
      <c r="T1" s="2"/>
      <c r="U1" s="2"/>
      <c r="V1" s="2"/>
    </row>
    <row r="2">
      <c r="A2" s="11" t="s">
        <v>2</v>
      </c>
      <c r="E2" s="12"/>
      <c r="F2" s="13" t="s">
        <v>3</v>
      </c>
      <c r="L2" s="12"/>
      <c r="M2" s="14" t="s">
        <v>4</v>
      </c>
      <c r="T2" s="12"/>
      <c r="U2" s="14" t="s">
        <v>5</v>
      </c>
      <c r="V2" s="15"/>
    </row>
    <row r="3">
      <c r="A3" s="16" t="s">
        <v>6</v>
      </c>
      <c r="B3" s="17" t="s">
        <v>7</v>
      </c>
      <c r="C3" s="18" t="s">
        <v>8</v>
      </c>
      <c r="D3" s="19" t="s">
        <v>9</v>
      </c>
      <c r="E3" s="20" t="s">
        <v>10</v>
      </c>
      <c r="F3" s="21" t="s">
        <v>11</v>
      </c>
      <c r="G3" s="22" t="str">
        <f>HYPERLINK("http://puu.sh/nJtmY/e2a5589f67.png","OS")</f>
        <v>OS</v>
      </c>
      <c r="H3" s="23" t="s">
        <v>12</v>
      </c>
      <c r="I3" s="23" t="s">
        <v>13</v>
      </c>
      <c r="J3" s="24" t="s">
        <v>14</v>
      </c>
      <c r="K3" s="25" t="s">
        <v>15</v>
      </c>
      <c r="L3" s="26" t="str">
        <f>HYPERLINK("http://jsfiddle.net/an789d4s/embedded/result/","Area")</f>
        <v>Area</v>
      </c>
      <c r="M3" s="27" t="s">
        <v>16</v>
      </c>
      <c r="N3" s="27" t="s">
        <v>17</v>
      </c>
      <c r="O3" s="27" t="s">
        <v>18</v>
      </c>
      <c r="P3" s="28" t="s">
        <v>19</v>
      </c>
      <c r="Q3" s="29" t="s">
        <v>20</v>
      </c>
      <c r="R3" s="29" t="s">
        <v>21</v>
      </c>
      <c r="S3" s="29" t="s">
        <v>22</v>
      </c>
      <c r="T3" s="30" t="s">
        <v>23</v>
      </c>
      <c r="U3" s="27" t="s">
        <v>24</v>
      </c>
      <c r="V3" s="31" t="s">
        <v>25</v>
      </c>
    </row>
    <row r="4">
      <c r="A4" s="32" t="s">
        <v>26</v>
      </c>
      <c r="B4" s="1" t="s">
        <v>27</v>
      </c>
      <c r="C4" s="33">
        <v>16735.6</v>
      </c>
      <c r="D4" s="34" t="str">
        <f>HYPERLINK("https://osu.ppy.sh/u/9072586","Andros")</f>
        <v>Andros</v>
      </c>
      <c r="E4" s="35" t="s">
        <v>28</v>
      </c>
      <c r="F4" s="36">
        <v>800.0</v>
      </c>
      <c r="G4" s="37" t="s">
        <v>29</v>
      </c>
      <c r="H4" s="37" t="s">
        <v>30</v>
      </c>
      <c r="I4" s="37" t="s">
        <v>31</v>
      </c>
      <c r="J4" s="38" t="s">
        <v>32</v>
      </c>
      <c r="K4" s="39" t="s">
        <v>33</v>
      </c>
      <c r="L4" s="40" t="s">
        <v>34</v>
      </c>
      <c r="M4" s="40" t="s">
        <v>35</v>
      </c>
      <c r="N4" s="40" t="s">
        <v>36</v>
      </c>
      <c r="O4" s="41" t="s">
        <v>37</v>
      </c>
      <c r="P4" s="42" t="s">
        <v>38</v>
      </c>
      <c r="Q4" s="43" t="s">
        <v>39</v>
      </c>
      <c r="R4" s="43" t="s">
        <v>40</v>
      </c>
      <c r="S4" s="43" t="s">
        <v>41</v>
      </c>
      <c r="T4" s="44" t="s">
        <v>42</v>
      </c>
      <c r="U4" s="40" t="s">
        <v>43</v>
      </c>
      <c r="V4" s="40" t="s">
        <v>44</v>
      </c>
      <c r="Z4" s="45">
        <v>43800.0</v>
      </c>
    </row>
    <row r="5">
      <c r="A5" s="32" t="s">
        <v>45</v>
      </c>
      <c r="B5" s="41" t="s">
        <v>46</v>
      </c>
      <c r="C5" s="46">
        <v>16065.6</v>
      </c>
      <c r="D5" s="47" t="str">
        <f>HYPERLINK("https://osu.ppy.sh/u/4908650","im a fancy lad")</f>
        <v>im a fancy lad</v>
      </c>
      <c r="E5" s="35" t="s">
        <v>28</v>
      </c>
      <c r="F5" s="36" t="s">
        <v>47</v>
      </c>
      <c r="G5" s="48" t="s">
        <v>29</v>
      </c>
      <c r="H5" s="37" t="s">
        <v>48</v>
      </c>
      <c r="I5" s="37" t="s">
        <v>31</v>
      </c>
      <c r="J5" s="49"/>
      <c r="K5" s="39" t="s">
        <v>33</v>
      </c>
      <c r="L5" s="40" t="s">
        <v>49</v>
      </c>
      <c r="M5" s="40" t="s">
        <v>50</v>
      </c>
      <c r="N5" s="40" t="s">
        <v>51</v>
      </c>
      <c r="O5" s="35" t="s">
        <v>52</v>
      </c>
      <c r="P5" s="50">
        <v>93.0</v>
      </c>
      <c r="Q5" s="51">
        <v>120.0</v>
      </c>
      <c r="R5" s="51">
        <v>64.0</v>
      </c>
      <c r="S5" s="51">
        <v>40.0</v>
      </c>
      <c r="T5" s="35" t="s">
        <v>53</v>
      </c>
      <c r="U5" s="40" t="s">
        <v>54</v>
      </c>
      <c r="V5" s="40" t="s">
        <v>55</v>
      </c>
      <c r="Z5" s="45">
        <v>44256.0</v>
      </c>
    </row>
    <row r="6">
      <c r="A6" s="32" t="s">
        <v>56</v>
      </c>
      <c r="B6" s="1" t="s">
        <v>57</v>
      </c>
      <c r="C6" s="33">
        <v>15888.6</v>
      </c>
      <c r="D6" s="34" t="str">
        <f>HYPERLINK("https://osu.ppy.sh/u/13211727","NyanPotato")</f>
        <v>NyanPotato</v>
      </c>
      <c r="E6" s="52" t="s">
        <v>28</v>
      </c>
      <c r="F6" s="48" t="s">
        <v>58</v>
      </c>
      <c r="G6" s="48"/>
      <c r="H6" s="48" t="s">
        <v>59</v>
      </c>
      <c r="I6" s="53"/>
      <c r="J6" s="54"/>
      <c r="K6" s="53"/>
      <c r="M6" s="55" t="s">
        <v>60</v>
      </c>
      <c r="N6" s="55" t="s">
        <v>61</v>
      </c>
      <c r="O6" s="56"/>
      <c r="P6" s="56"/>
      <c r="Q6" s="56"/>
      <c r="R6" s="56"/>
      <c r="S6" s="56"/>
      <c r="T6" s="56"/>
      <c r="U6" s="55" t="s">
        <v>62</v>
      </c>
      <c r="V6" s="55" t="s">
        <v>63</v>
      </c>
      <c r="Z6" s="45">
        <v>44044.0</v>
      </c>
      <c r="AA6" s="57"/>
    </row>
    <row r="7">
      <c r="A7" s="32" t="s">
        <v>64</v>
      </c>
      <c r="B7" s="1" t="s">
        <v>65</v>
      </c>
      <c r="C7" s="33">
        <v>15619.1</v>
      </c>
      <c r="D7" s="34" t="str">
        <f>HYPERLINK("https://osu.ppy.sh/u/4581069","eternum")</f>
        <v>eternum</v>
      </c>
      <c r="E7" s="52" t="s">
        <v>28</v>
      </c>
      <c r="F7" s="58" t="s">
        <v>66</v>
      </c>
      <c r="G7" s="48" t="s">
        <v>29</v>
      </c>
      <c r="H7" s="48" t="s">
        <v>67</v>
      </c>
      <c r="I7" s="48" t="s">
        <v>31</v>
      </c>
      <c r="J7" s="59" t="s">
        <v>32</v>
      </c>
      <c r="K7" s="60"/>
      <c r="L7" s="1" t="s">
        <v>68</v>
      </c>
      <c r="M7" s="1" t="s">
        <v>69</v>
      </c>
      <c r="N7" s="1" t="s">
        <v>61</v>
      </c>
      <c r="O7" s="40" t="s">
        <v>70</v>
      </c>
      <c r="P7" s="42" t="s">
        <v>71</v>
      </c>
      <c r="Q7" s="43" t="s">
        <v>39</v>
      </c>
      <c r="R7" s="43" t="s">
        <v>72</v>
      </c>
      <c r="S7" s="43" t="s">
        <v>41</v>
      </c>
      <c r="T7" s="61" t="s">
        <v>42</v>
      </c>
      <c r="U7" s="1" t="s">
        <v>73</v>
      </c>
      <c r="V7" s="1" t="s">
        <v>74</v>
      </c>
      <c r="Z7" s="45">
        <v>43070.0</v>
      </c>
    </row>
    <row r="8">
      <c r="A8" s="32" t="s">
        <v>75</v>
      </c>
      <c r="B8" s="41" t="s">
        <v>76</v>
      </c>
      <c r="C8" s="46">
        <v>15567.3</v>
      </c>
      <c r="D8" s="62" t="str">
        <f>HYPERLINK("https://osu.ppy.sh/u/2094566","FGSky")</f>
        <v>FGSky</v>
      </c>
      <c r="E8" s="61" t="s">
        <v>28</v>
      </c>
      <c r="F8" s="63" t="s">
        <v>77</v>
      </c>
      <c r="G8" s="64" t="s">
        <v>78</v>
      </c>
      <c r="H8" s="65" t="s">
        <v>79</v>
      </c>
      <c r="I8" s="66" t="s">
        <v>80</v>
      </c>
      <c r="J8" s="67" t="s">
        <v>32</v>
      </c>
      <c r="K8" s="39" t="s">
        <v>81</v>
      </c>
      <c r="L8" s="52" t="s">
        <v>82</v>
      </c>
      <c r="M8" s="68" t="s">
        <v>83</v>
      </c>
      <c r="N8" s="41" t="s">
        <v>61</v>
      </c>
      <c r="O8" s="40"/>
      <c r="P8" s="42" t="s">
        <v>84</v>
      </c>
      <c r="Q8" s="43" t="s">
        <v>85</v>
      </c>
      <c r="R8" s="43" t="s">
        <v>86</v>
      </c>
      <c r="S8" s="43" t="s">
        <v>87</v>
      </c>
      <c r="T8" s="69"/>
      <c r="U8" s="35" t="s">
        <v>88</v>
      </c>
      <c r="V8" s="35" t="s">
        <v>89</v>
      </c>
    </row>
    <row r="9">
      <c r="A9" s="32" t="s">
        <v>90</v>
      </c>
      <c r="B9" s="41" t="s">
        <v>91</v>
      </c>
      <c r="C9" s="46">
        <v>15379.9</v>
      </c>
      <c r="D9" s="62" t="str">
        <f>HYPERLINK("https://osu.ppy.sh/u/2562987","azr8")</f>
        <v>azr8</v>
      </c>
      <c r="E9" s="35" t="s">
        <v>28</v>
      </c>
      <c r="F9" s="63">
        <v>1150.0</v>
      </c>
      <c r="G9" s="66" t="s">
        <v>29</v>
      </c>
      <c r="H9" s="65" t="s">
        <v>67</v>
      </c>
      <c r="I9" s="66" t="s">
        <v>31</v>
      </c>
      <c r="J9" s="70" t="s">
        <v>32</v>
      </c>
      <c r="K9" s="71">
        <v>1000.0</v>
      </c>
      <c r="L9" s="52" t="s">
        <v>68</v>
      </c>
      <c r="M9" s="41" t="s">
        <v>69</v>
      </c>
      <c r="N9" s="35" t="s">
        <v>92</v>
      </c>
      <c r="O9" s="40" t="s">
        <v>70</v>
      </c>
      <c r="P9" s="42" t="s">
        <v>71</v>
      </c>
      <c r="Q9" s="43" t="s">
        <v>39</v>
      </c>
      <c r="R9" s="43" t="s">
        <v>72</v>
      </c>
      <c r="S9" s="43" t="s">
        <v>41</v>
      </c>
      <c r="T9" s="61" t="s">
        <v>42</v>
      </c>
      <c r="U9" s="41" t="s">
        <v>93</v>
      </c>
      <c r="V9" s="41" t="s">
        <v>94</v>
      </c>
      <c r="Z9" s="45">
        <v>43617.0</v>
      </c>
    </row>
    <row r="10">
      <c r="A10" s="32" t="s">
        <v>95</v>
      </c>
      <c r="B10" s="41" t="s">
        <v>96</v>
      </c>
      <c r="C10" s="46">
        <v>15265.4</v>
      </c>
      <c r="D10" s="62" t="str">
        <f>HYPERLINK("https://osu.ppy.sh/u/3533958","fieryrage")</f>
        <v>fieryrage</v>
      </c>
      <c r="E10" s="61" t="s">
        <v>28</v>
      </c>
      <c r="F10" s="63">
        <v>600.0</v>
      </c>
      <c r="G10" s="66" t="s">
        <v>29</v>
      </c>
      <c r="H10" s="66" t="s">
        <v>97</v>
      </c>
      <c r="I10" s="66" t="s">
        <v>98</v>
      </c>
      <c r="J10" s="70" t="s">
        <v>32</v>
      </c>
      <c r="K10" s="71">
        <v>1000.0</v>
      </c>
      <c r="L10" s="61" t="s">
        <v>99</v>
      </c>
      <c r="M10" s="1" t="s">
        <v>100</v>
      </c>
      <c r="N10" s="41" t="s">
        <v>61</v>
      </c>
      <c r="O10" s="35" t="s">
        <v>101</v>
      </c>
      <c r="P10" s="72">
        <v>105.0</v>
      </c>
      <c r="Q10" s="73">
        <v>127.0</v>
      </c>
      <c r="R10" s="73">
        <v>70.0</v>
      </c>
      <c r="S10" s="73">
        <v>44.0</v>
      </c>
      <c r="T10" s="44" t="s">
        <v>42</v>
      </c>
      <c r="U10" s="41" t="s">
        <v>102</v>
      </c>
      <c r="V10" s="35" t="s">
        <v>74</v>
      </c>
      <c r="Z10" s="45">
        <v>43040.0</v>
      </c>
    </row>
    <row r="11">
      <c r="A11" s="32" t="s">
        <v>103</v>
      </c>
      <c r="B11" s="1" t="s">
        <v>104</v>
      </c>
      <c r="C11" s="33">
        <v>15194.5</v>
      </c>
      <c r="D11" s="34" t="str">
        <f>HYPERLINK("https://osu.ppy.sh/u/6272698","Andrej")</f>
        <v>Andrej</v>
      </c>
      <c r="E11" s="55" t="s">
        <v>28</v>
      </c>
      <c r="F11" s="58" t="s">
        <v>105</v>
      </c>
      <c r="G11" s="48" t="s">
        <v>29</v>
      </c>
      <c r="H11" s="48" t="s">
        <v>67</v>
      </c>
      <c r="I11" s="48" t="s">
        <v>106</v>
      </c>
      <c r="J11" s="59" t="s">
        <v>32</v>
      </c>
      <c r="K11" s="74" t="s">
        <v>81</v>
      </c>
      <c r="L11" s="55" t="s">
        <v>107</v>
      </c>
      <c r="M11" s="1" t="s">
        <v>108</v>
      </c>
      <c r="O11" s="41" t="s">
        <v>109</v>
      </c>
      <c r="P11" s="72" t="s">
        <v>110</v>
      </c>
      <c r="Q11" s="73" t="s">
        <v>39</v>
      </c>
      <c r="R11" s="73" t="s">
        <v>72</v>
      </c>
      <c r="S11" s="73" t="s">
        <v>41</v>
      </c>
      <c r="T11" s="53"/>
      <c r="U11" s="53"/>
    </row>
    <row r="12">
      <c r="A12" s="32" t="s">
        <v>27</v>
      </c>
      <c r="B12" s="41" t="s">
        <v>111</v>
      </c>
      <c r="C12" s="46">
        <v>15161.9</v>
      </c>
      <c r="D12" s="62" t="str">
        <f>HYPERLINK("https://osu.ppy.sh/u/2291265","Arnold24x24")</f>
        <v>Arnold24x24</v>
      </c>
      <c r="E12" s="35" t="s">
        <v>28</v>
      </c>
      <c r="F12" s="63" t="s">
        <v>112</v>
      </c>
      <c r="G12" s="66" t="s">
        <v>29</v>
      </c>
      <c r="H12" s="65" t="s">
        <v>113</v>
      </c>
      <c r="I12" s="66" t="s">
        <v>106</v>
      </c>
      <c r="J12" s="70" t="s">
        <v>32</v>
      </c>
      <c r="K12" s="71">
        <v>1000.0</v>
      </c>
      <c r="L12" s="61" t="s">
        <v>114</v>
      </c>
      <c r="M12" s="41" t="s">
        <v>115</v>
      </c>
      <c r="N12" s="35" t="s">
        <v>116</v>
      </c>
      <c r="O12" s="35"/>
      <c r="P12" s="72"/>
      <c r="Q12" s="73"/>
      <c r="R12" s="73"/>
      <c r="S12" s="73"/>
      <c r="T12" s="61"/>
      <c r="U12" s="35" t="s">
        <v>117</v>
      </c>
      <c r="V12" s="35" t="s">
        <v>89</v>
      </c>
      <c r="Z12" s="45">
        <v>42795.0</v>
      </c>
    </row>
    <row r="13">
      <c r="A13" s="32" t="s">
        <v>118</v>
      </c>
      <c r="B13" s="1" t="s">
        <v>119</v>
      </c>
      <c r="C13" s="33">
        <v>14983.0</v>
      </c>
      <c r="D13" s="34" t="str">
        <f>HYPERLINK("https://osu.ppy.sh/u/8558031","dejiz")</f>
        <v>dejiz</v>
      </c>
      <c r="E13" s="61" t="s">
        <v>28</v>
      </c>
      <c r="F13" s="63">
        <v>800.0</v>
      </c>
      <c r="G13" s="37"/>
      <c r="H13" s="66" t="s">
        <v>67</v>
      </c>
      <c r="I13" s="48"/>
      <c r="J13" s="59"/>
      <c r="K13" s="53"/>
      <c r="L13" s="1"/>
      <c r="M13" s="40" t="s">
        <v>120</v>
      </c>
      <c r="N13" s="56"/>
      <c r="O13" s="1" t="s">
        <v>121</v>
      </c>
      <c r="P13" s="72" t="s">
        <v>122</v>
      </c>
      <c r="Q13" s="73" t="s">
        <v>123</v>
      </c>
      <c r="R13" s="73" t="s">
        <v>124</v>
      </c>
      <c r="S13" s="73">
        <v>39.0</v>
      </c>
      <c r="T13" s="44" t="s">
        <v>42</v>
      </c>
      <c r="U13" s="55" t="s">
        <v>125</v>
      </c>
      <c r="V13" s="55" t="s">
        <v>74</v>
      </c>
      <c r="Z13" s="45">
        <v>44197.0</v>
      </c>
      <c r="AA13" s="57"/>
    </row>
    <row r="14">
      <c r="A14" s="32" t="s">
        <v>126</v>
      </c>
      <c r="B14" s="41" t="s">
        <v>127</v>
      </c>
      <c r="C14" s="46">
        <v>14893.8</v>
      </c>
      <c r="D14" s="62" t="str">
        <f>HYPERLINK("https://osu.ppy.sh/u/1558603","MouseEasy")</f>
        <v>MouseEasy</v>
      </c>
      <c r="E14" s="61" t="s">
        <v>28</v>
      </c>
      <c r="F14" s="63">
        <v>800.0</v>
      </c>
      <c r="G14" s="66" t="s">
        <v>128</v>
      </c>
      <c r="H14" s="66" t="s">
        <v>67</v>
      </c>
      <c r="I14" s="66" t="s">
        <v>98</v>
      </c>
      <c r="J14" s="38" t="s">
        <v>32</v>
      </c>
      <c r="K14" s="71">
        <v>1000.0</v>
      </c>
      <c r="L14" s="52" t="s">
        <v>129</v>
      </c>
      <c r="M14" s="41" t="s">
        <v>130</v>
      </c>
      <c r="N14" s="41" t="s">
        <v>131</v>
      </c>
      <c r="O14" s="1" t="s">
        <v>70</v>
      </c>
      <c r="P14" s="72" t="s">
        <v>132</v>
      </c>
      <c r="Q14" s="73">
        <v>124.0</v>
      </c>
      <c r="R14" s="73">
        <v>68.0</v>
      </c>
      <c r="S14" s="73">
        <v>43.0</v>
      </c>
      <c r="T14" s="61" t="s">
        <v>42</v>
      </c>
      <c r="U14" s="75" t="s">
        <v>133</v>
      </c>
      <c r="V14" s="41" t="s">
        <v>134</v>
      </c>
      <c r="Z14" s="45">
        <v>43983.0</v>
      </c>
    </row>
    <row r="15">
      <c r="A15" s="32" t="s">
        <v>135</v>
      </c>
      <c r="B15" s="1" t="s">
        <v>136</v>
      </c>
      <c r="C15" s="33">
        <v>14370.1</v>
      </c>
      <c r="D15" s="34" t="str">
        <f>HYPERLINK("https://osu.ppy.sh/u/4945688","rairiku")</f>
        <v>rairiku</v>
      </c>
      <c r="E15" s="41" t="s">
        <v>28</v>
      </c>
      <c r="F15" s="58" t="s">
        <v>105</v>
      </c>
      <c r="G15" s="48" t="s">
        <v>29</v>
      </c>
      <c r="H15" s="48" t="s">
        <v>137</v>
      </c>
      <c r="I15" s="48" t="s">
        <v>31</v>
      </c>
      <c r="J15" s="59" t="s">
        <v>32</v>
      </c>
      <c r="K15" s="74" t="s">
        <v>33</v>
      </c>
      <c r="L15" s="1" t="s">
        <v>138</v>
      </c>
      <c r="M15" s="40" t="s">
        <v>139</v>
      </c>
      <c r="N15" s="1" t="s">
        <v>140</v>
      </c>
      <c r="O15" s="40" t="s">
        <v>141</v>
      </c>
      <c r="P15" s="42" t="s">
        <v>71</v>
      </c>
      <c r="Q15" s="43" t="s">
        <v>39</v>
      </c>
      <c r="R15" s="43" t="s">
        <v>72</v>
      </c>
      <c r="S15" s="43" t="s">
        <v>41</v>
      </c>
      <c r="T15" s="40" t="s">
        <v>42</v>
      </c>
      <c r="U15" s="1" t="s">
        <v>142</v>
      </c>
      <c r="V15" s="1" t="s">
        <v>74</v>
      </c>
      <c r="Z15" s="45">
        <v>43770.0</v>
      </c>
    </row>
    <row r="16">
      <c r="A16" s="32" t="s">
        <v>143</v>
      </c>
      <c r="B16" s="40" t="s">
        <v>144</v>
      </c>
      <c r="C16" s="76">
        <v>14194.2</v>
      </c>
      <c r="D16" s="77" t="str">
        <f>HYPERLINK("https://osu.ppy.sh/u/5035707","Maxim Bogdan")</f>
        <v>Maxim Bogdan</v>
      </c>
      <c r="E16" s="52" t="s">
        <v>28</v>
      </c>
      <c r="F16" s="36">
        <v>3100.0</v>
      </c>
      <c r="G16" s="37" t="s">
        <v>29</v>
      </c>
      <c r="H16" s="37" t="s">
        <v>145</v>
      </c>
      <c r="I16" s="37" t="s">
        <v>31</v>
      </c>
      <c r="J16" s="38" t="s">
        <v>32</v>
      </c>
      <c r="K16" s="39" t="s">
        <v>33</v>
      </c>
      <c r="L16" s="40" t="s">
        <v>146</v>
      </c>
      <c r="M16" s="40" t="s">
        <v>147</v>
      </c>
      <c r="N16" s="40" t="s">
        <v>148</v>
      </c>
      <c r="O16" s="1" t="s">
        <v>149</v>
      </c>
      <c r="P16" s="48" t="s">
        <v>150</v>
      </c>
      <c r="Q16" s="73" t="s">
        <v>151</v>
      </c>
      <c r="R16" s="48" t="s">
        <v>152</v>
      </c>
      <c r="S16" s="48" t="s">
        <v>41</v>
      </c>
      <c r="T16" s="52" t="s">
        <v>153</v>
      </c>
      <c r="U16" s="40" t="s">
        <v>154</v>
      </c>
      <c r="V16" s="40" t="s">
        <v>74</v>
      </c>
      <c r="W16" s="57"/>
      <c r="X16" s="57"/>
      <c r="Y16" s="57"/>
      <c r="Z16" s="78">
        <v>44197.0</v>
      </c>
    </row>
    <row r="17">
      <c r="A17" s="32" t="s">
        <v>155</v>
      </c>
      <c r="B17" s="1" t="s">
        <v>156</v>
      </c>
      <c r="C17" s="33">
        <v>14173.3</v>
      </c>
      <c r="D17" s="34" t="str">
        <f>HYPERLINK("https://osu.ppy.sh/u/8007528","Raikouhou")</f>
        <v>Raikouhou</v>
      </c>
      <c r="E17" s="55" t="s">
        <v>28</v>
      </c>
      <c r="F17" s="36" t="s">
        <v>77</v>
      </c>
      <c r="G17" s="37" t="s">
        <v>29</v>
      </c>
      <c r="H17" s="37" t="s">
        <v>157</v>
      </c>
      <c r="I17" s="37" t="s">
        <v>31</v>
      </c>
      <c r="J17" s="38" t="s">
        <v>32</v>
      </c>
      <c r="K17" s="39" t="s">
        <v>81</v>
      </c>
      <c r="L17" s="40" t="s">
        <v>158</v>
      </c>
      <c r="M17" s="40" t="s">
        <v>159</v>
      </c>
      <c r="N17" s="40" t="s">
        <v>160</v>
      </c>
      <c r="O17" s="69"/>
      <c r="P17" s="79"/>
      <c r="Q17" s="80"/>
      <c r="R17" s="80"/>
      <c r="S17" s="80"/>
      <c r="T17" s="69"/>
      <c r="U17" s="40" t="s">
        <v>161</v>
      </c>
      <c r="V17" s="40" t="s">
        <v>63</v>
      </c>
      <c r="Z17" s="45">
        <v>43556.0</v>
      </c>
    </row>
    <row r="18">
      <c r="A18" s="81" t="s">
        <v>162</v>
      </c>
      <c r="B18" s="1" t="s">
        <v>163</v>
      </c>
      <c r="C18" s="33">
        <v>14088.5</v>
      </c>
      <c r="D18" s="34" t="str">
        <f>HYPERLINK("https://osu.ppy.sh/u/2768421","jot_bab")</f>
        <v>jot_bab</v>
      </c>
      <c r="E18" s="1" t="s">
        <v>28</v>
      </c>
      <c r="F18" s="58" t="s">
        <v>105</v>
      </c>
      <c r="G18" s="48" t="s">
        <v>29</v>
      </c>
      <c r="H18" s="48" t="s">
        <v>164</v>
      </c>
      <c r="I18" s="48" t="s">
        <v>31</v>
      </c>
      <c r="J18" s="54"/>
      <c r="K18" s="74" t="s">
        <v>33</v>
      </c>
      <c r="L18" s="1" t="s">
        <v>49</v>
      </c>
      <c r="M18" s="1" t="s">
        <v>165</v>
      </c>
      <c r="N18" s="1" t="s">
        <v>61</v>
      </c>
      <c r="O18" s="1" t="s">
        <v>121</v>
      </c>
      <c r="P18" s="42" t="s">
        <v>166</v>
      </c>
      <c r="Q18" s="43" t="s">
        <v>167</v>
      </c>
      <c r="R18" s="43" t="s">
        <v>40</v>
      </c>
      <c r="S18" s="43" t="s">
        <v>41</v>
      </c>
      <c r="T18" s="61"/>
      <c r="U18" s="1" t="s">
        <v>168</v>
      </c>
      <c r="V18" s="1" t="s">
        <v>74</v>
      </c>
      <c r="Z18" s="45">
        <v>44105.0</v>
      </c>
    </row>
    <row r="19">
      <c r="A19" s="32" t="s">
        <v>169</v>
      </c>
      <c r="B19" s="1" t="s">
        <v>170</v>
      </c>
      <c r="C19" s="33">
        <v>14056.4</v>
      </c>
      <c r="D19" s="34" t="str">
        <f>HYPERLINK("https://osu.ppy.sh/u/7657831","JustMan")</f>
        <v>JustMan</v>
      </c>
      <c r="E19" s="52" t="s">
        <v>28</v>
      </c>
      <c r="F19" s="36" t="s">
        <v>171</v>
      </c>
      <c r="G19" s="37" t="s">
        <v>29</v>
      </c>
      <c r="H19" s="37" t="s">
        <v>172</v>
      </c>
      <c r="I19" s="37" t="s">
        <v>31</v>
      </c>
      <c r="J19" s="38" t="s">
        <v>32</v>
      </c>
      <c r="K19" s="39" t="s">
        <v>33</v>
      </c>
      <c r="L19" s="40" t="s">
        <v>34</v>
      </c>
      <c r="M19" s="40" t="s">
        <v>173</v>
      </c>
      <c r="N19" s="40" t="s">
        <v>174</v>
      </c>
      <c r="O19" s="1" t="s">
        <v>121</v>
      </c>
      <c r="P19" s="42" t="s">
        <v>84</v>
      </c>
      <c r="Q19" s="43" t="s">
        <v>175</v>
      </c>
      <c r="R19" s="43" t="s">
        <v>86</v>
      </c>
      <c r="S19" s="43" t="s">
        <v>41</v>
      </c>
      <c r="T19" s="61" t="s">
        <v>42</v>
      </c>
      <c r="U19" s="40" t="s">
        <v>176</v>
      </c>
      <c r="V19" s="40" t="s">
        <v>74</v>
      </c>
      <c r="Z19" s="45">
        <v>43739.0</v>
      </c>
    </row>
    <row r="20">
      <c r="A20" s="32" t="s">
        <v>177</v>
      </c>
      <c r="B20" s="41" t="s">
        <v>178</v>
      </c>
      <c r="C20" s="46">
        <v>13544.4</v>
      </c>
      <c r="D20" s="47" t="str">
        <f>HYPERLINK("https://osu.ppy.sh/u/4230827","theez")</f>
        <v>theez</v>
      </c>
      <c r="E20" s="52" t="s">
        <v>28</v>
      </c>
      <c r="F20" s="36">
        <v>1150.0</v>
      </c>
      <c r="G20" s="37" t="s">
        <v>29</v>
      </c>
      <c r="H20" s="37" t="s">
        <v>67</v>
      </c>
      <c r="I20" s="37" t="s">
        <v>31</v>
      </c>
      <c r="J20" s="38" t="s">
        <v>32</v>
      </c>
      <c r="K20" s="39" t="s">
        <v>33</v>
      </c>
      <c r="L20" s="40" t="s">
        <v>68</v>
      </c>
      <c r="M20" s="40" t="s">
        <v>69</v>
      </c>
      <c r="N20" s="40" t="s">
        <v>179</v>
      </c>
      <c r="O20" s="40" t="s">
        <v>70</v>
      </c>
      <c r="P20" s="42" t="s">
        <v>71</v>
      </c>
      <c r="Q20" s="43" t="s">
        <v>39</v>
      </c>
      <c r="R20" s="43" t="s">
        <v>72</v>
      </c>
      <c r="S20" s="43" t="s">
        <v>41</v>
      </c>
      <c r="T20" s="61" t="s">
        <v>42</v>
      </c>
      <c r="U20" s="40" t="s">
        <v>180</v>
      </c>
      <c r="V20" s="40" t="s">
        <v>89</v>
      </c>
      <c r="Z20" s="45">
        <v>43282.0</v>
      </c>
    </row>
    <row r="21">
      <c r="A21" s="32" t="s">
        <v>181</v>
      </c>
      <c r="B21" s="41" t="s">
        <v>182</v>
      </c>
      <c r="C21" s="46">
        <v>13522.6</v>
      </c>
      <c r="D21" s="47" t="str">
        <f>HYPERLINK("https://osu.ppy.sh/u/7680559","Areox")</f>
        <v>Areox</v>
      </c>
      <c r="E21" s="52" t="s">
        <v>28</v>
      </c>
      <c r="F21" s="36">
        <v>500.0</v>
      </c>
      <c r="G21" s="48" t="s">
        <v>29</v>
      </c>
      <c r="H21" s="37" t="s">
        <v>67</v>
      </c>
      <c r="I21" s="37" t="s">
        <v>183</v>
      </c>
      <c r="J21" s="38" t="s">
        <v>32</v>
      </c>
      <c r="K21" s="82"/>
      <c r="L21" s="40" t="s">
        <v>184</v>
      </c>
      <c r="M21" s="40" t="s">
        <v>185</v>
      </c>
      <c r="N21" s="40" t="s">
        <v>186</v>
      </c>
      <c r="O21" s="40" t="s">
        <v>141</v>
      </c>
      <c r="P21" s="42" t="s">
        <v>187</v>
      </c>
      <c r="Q21" s="43" t="s">
        <v>39</v>
      </c>
      <c r="R21" s="43" t="s">
        <v>72</v>
      </c>
      <c r="S21" s="43" t="s">
        <v>41</v>
      </c>
      <c r="T21" s="40" t="s">
        <v>42</v>
      </c>
      <c r="U21" s="40" t="s">
        <v>188</v>
      </c>
      <c r="V21" s="40" t="s">
        <v>89</v>
      </c>
      <c r="Z21" s="45">
        <v>43313.0</v>
      </c>
    </row>
    <row r="22">
      <c r="A22" s="32" t="s">
        <v>189</v>
      </c>
      <c r="B22" s="1" t="s">
        <v>190</v>
      </c>
      <c r="C22" s="33">
        <v>13470.7</v>
      </c>
      <c r="D22" s="34" t="str">
        <f>HYPERLINK("https://osu.ppy.sh/u/10549880","Surv")</f>
        <v>Surv</v>
      </c>
      <c r="E22" s="52" t="s">
        <v>28</v>
      </c>
      <c r="F22" s="58" t="s">
        <v>105</v>
      </c>
      <c r="G22" s="48" t="s">
        <v>29</v>
      </c>
      <c r="H22" s="48" t="s">
        <v>191</v>
      </c>
      <c r="I22" s="48" t="s">
        <v>31</v>
      </c>
      <c r="J22" s="59" t="s">
        <v>192</v>
      </c>
      <c r="K22" s="74" t="s">
        <v>81</v>
      </c>
      <c r="L22" s="1" t="s">
        <v>193</v>
      </c>
      <c r="M22" s="1" t="s">
        <v>194</v>
      </c>
      <c r="N22" s="1" t="s">
        <v>195</v>
      </c>
      <c r="O22" s="1" t="s">
        <v>141</v>
      </c>
      <c r="P22" s="42">
        <v>126.0</v>
      </c>
      <c r="Q22" s="43">
        <v>128.0</v>
      </c>
      <c r="R22" s="43">
        <v>76.0</v>
      </c>
      <c r="S22" s="43">
        <v>42.0</v>
      </c>
      <c r="T22" s="61" t="s">
        <v>42</v>
      </c>
      <c r="U22" s="1" t="s">
        <v>196</v>
      </c>
      <c r="V22" s="1" t="s">
        <v>94</v>
      </c>
      <c r="Z22" s="45">
        <v>44136.0</v>
      </c>
    </row>
    <row r="23">
      <c r="A23" s="32" t="s">
        <v>197</v>
      </c>
      <c r="B23" s="41" t="s">
        <v>198</v>
      </c>
      <c r="C23" s="46">
        <v>13187.9</v>
      </c>
      <c r="D23" s="83" t="str">
        <f>HYPERLINK("https://osu.ppy.sh/u/7415910","Avenito")</f>
        <v>Avenito</v>
      </c>
      <c r="E23" s="40" t="s">
        <v>28</v>
      </c>
      <c r="F23" s="36">
        <v>960.0</v>
      </c>
      <c r="G23" s="37" t="s">
        <v>29</v>
      </c>
      <c r="H23" s="37" t="s">
        <v>67</v>
      </c>
      <c r="I23" s="37" t="s">
        <v>106</v>
      </c>
      <c r="J23" s="38" t="s">
        <v>32</v>
      </c>
      <c r="K23" s="39" t="s">
        <v>33</v>
      </c>
      <c r="L23" s="40" t="s">
        <v>107</v>
      </c>
      <c r="M23" s="40" t="s">
        <v>199</v>
      </c>
      <c r="N23" s="40" t="s">
        <v>200</v>
      </c>
      <c r="O23" s="1" t="s">
        <v>201</v>
      </c>
      <c r="P23" s="72">
        <v>103.0</v>
      </c>
      <c r="Q23" s="73">
        <v>136.0</v>
      </c>
      <c r="R23" s="73">
        <v>72.0</v>
      </c>
      <c r="S23" s="73">
        <v>41.0</v>
      </c>
      <c r="T23" s="61" t="s">
        <v>42</v>
      </c>
      <c r="U23" s="40" t="s">
        <v>202</v>
      </c>
      <c r="V23" s="40" t="s">
        <v>203</v>
      </c>
      <c r="Z23" s="45">
        <v>43435.0</v>
      </c>
    </row>
    <row r="24">
      <c r="A24" s="32" t="s">
        <v>204</v>
      </c>
      <c r="B24" s="1" t="s">
        <v>205</v>
      </c>
      <c r="C24" s="33">
        <v>13087.0</v>
      </c>
      <c r="D24" s="34" t="str">
        <f>HYPERLINK("https://osu.ppy.sh/u/3314158","Zeklewa")</f>
        <v>Zeklewa</v>
      </c>
      <c r="E24" s="55" t="s">
        <v>28</v>
      </c>
      <c r="F24" s="48" t="s">
        <v>206</v>
      </c>
      <c r="G24" s="48" t="s">
        <v>29</v>
      </c>
      <c r="H24" s="48" t="s">
        <v>67</v>
      </c>
      <c r="I24" s="48" t="s">
        <v>31</v>
      </c>
      <c r="J24" s="59" t="s">
        <v>32</v>
      </c>
      <c r="L24" s="1" t="s">
        <v>207</v>
      </c>
      <c r="M24" s="1" t="s">
        <v>130</v>
      </c>
      <c r="N24" s="1" t="s">
        <v>208</v>
      </c>
      <c r="O24" s="1" t="s">
        <v>70</v>
      </c>
      <c r="P24" s="72" t="s">
        <v>132</v>
      </c>
      <c r="Q24" s="73">
        <v>124.0</v>
      </c>
      <c r="R24" s="73">
        <v>68.0</v>
      </c>
      <c r="S24" s="73">
        <v>43.0</v>
      </c>
      <c r="T24" s="61" t="s">
        <v>42</v>
      </c>
      <c r="U24" s="1" t="s">
        <v>209</v>
      </c>
      <c r="V24" s="1" t="s">
        <v>209</v>
      </c>
      <c r="Z24" s="45">
        <v>43344.0</v>
      </c>
    </row>
    <row r="25" ht="12.0" customHeight="1">
      <c r="A25" s="32" t="s">
        <v>210</v>
      </c>
      <c r="B25" s="1" t="s">
        <v>211</v>
      </c>
      <c r="C25" s="33">
        <v>13031.3</v>
      </c>
      <c r="D25" s="34" t="str">
        <f>HYPERLINK("https://osu.ppy.sh/u/8105138","nejzha")</f>
        <v>nejzha</v>
      </c>
      <c r="E25" s="55" t="s">
        <v>28</v>
      </c>
      <c r="F25" s="48" t="s">
        <v>105</v>
      </c>
      <c r="G25" s="48" t="s">
        <v>29</v>
      </c>
      <c r="H25" s="48" t="s">
        <v>212</v>
      </c>
      <c r="I25" s="48" t="s">
        <v>31</v>
      </c>
      <c r="J25" s="1" t="s">
        <v>32</v>
      </c>
      <c r="K25" s="53"/>
      <c r="L25" s="1" t="s">
        <v>213</v>
      </c>
      <c r="M25" s="1" t="s">
        <v>214</v>
      </c>
      <c r="N25" s="1" t="s">
        <v>116</v>
      </c>
      <c r="O25" s="40" t="s">
        <v>215</v>
      </c>
      <c r="P25" s="42" t="s">
        <v>216</v>
      </c>
      <c r="Q25" s="43" t="s">
        <v>175</v>
      </c>
      <c r="R25" s="43" t="s">
        <v>72</v>
      </c>
      <c r="S25" s="43" t="s">
        <v>217</v>
      </c>
      <c r="T25" s="44" t="s">
        <v>218</v>
      </c>
      <c r="U25" s="1" t="s">
        <v>219</v>
      </c>
      <c r="V25" s="1" t="s">
        <v>89</v>
      </c>
      <c r="Z25" s="45">
        <v>43922.0</v>
      </c>
      <c r="AA25" s="57"/>
    </row>
    <row r="26">
      <c r="A26" s="32" t="s">
        <v>220</v>
      </c>
      <c r="B26" s="1" t="s">
        <v>221</v>
      </c>
      <c r="C26" s="33">
        <v>12948.9</v>
      </c>
      <c r="D26" s="34" t="str">
        <f>HYPERLINK("https://osu.ppy.sh/u/7448448","Takaga")</f>
        <v>Takaga</v>
      </c>
      <c r="E26" s="52" t="s">
        <v>28</v>
      </c>
      <c r="F26" s="58" t="s">
        <v>105</v>
      </c>
      <c r="G26" s="48" t="s">
        <v>29</v>
      </c>
      <c r="H26" s="48" t="s">
        <v>67</v>
      </c>
      <c r="I26" s="48" t="s">
        <v>31</v>
      </c>
      <c r="J26" s="59" t="s">
        <v>192</v>
      </c>
      <c r="K26" s="74" t="s">
        <v>33</v>
      </c>
      <c r="L26" s="1" t="s">
        <v>222</v>
      </c>
      <c r="M26" s="41" t="s">
        <v>130</v>
      </c>
      <c r="N26" s="1" t="s">
        <v>223</v>
      </c>
      <c r="O26" s="1" t="s">
        <v>70</v>
      </c>
      <c r="P26" s="72" t="s">
        <v>132</v>
      </c>
      <c r="Q26" s="73">
        <v>124.0</v>
      </c>
      <c r="R26" s="73">
        <v>68.0</v>
      </c>
      <c r="S26" s="73">
        <v>43.0</v>
      </c>
      <c r="T26" s="61" t="s">
        <v>42</v>
      </c>
      <c r="U26" s="1" t="s">
        <v>224</v>
      </c>
      <c r="V26" s="1" t="s">
        <v>225</v>
      </c>
      <c r="Z26" s="45">
        <v>44013.0</v>
      </c>
    </row>
    <row r="27">
      <c r="A27" s="32" t="s">
        <v>226</v>
      </c>
      <c r="B27" s="1" t="s">
        <v>227</v>
      </c>
      <c r="C27" s="33">
        <v>12725.7</v>
      </c>
      <c r="D27" s="34" t="str">
        <f>HYPERLINK("https://osu.ppy.sh/u/4548264","Ayla")</f>
        <v>Ayla</v>
      </c>
      <c r="E27" s="52" t="s">
        <v>28</v>
      </c>
      <c r="F27" s="36" t="s">
        <v>105</v>
      </c>
      <c r="G27" s="66" t="s">
        <v>29</v>
      </c>
      <c r="H27" s="37" t="s">
        <v>228</v>
      </c>
      <c r="I27" s="37" t="s">
        <v>229</v>
      </c>
      <c r="J27" s="38" t="s">
        <v>32</v>
      </c>
      <c r="K27" s="82"/>
      <c r="L27" s="40" t="s">
        <v>230</v>
      </c>
      <c r="M27" s="40" t="s">
        <v>231</v>
      </c>
      <c r="N27" s="40" t="s">
        <v>232</v>
      </c>
      <c r="O27" s="69"/>
      <c r="P27" s="79"/>
      <c r="Q27" s="80"/>
      <c r="R27" s="80"/>
      <c r="S27" s="80"/>
      <c r="T27" s="69"/>
      <c r="U27" s="40" t="s">
        <v>233</v>
      </c>
      <c r="V27" s="40" t="s">
        <v>74</v>
      </c>
    </row>
    <row r="28">
      <c r="A28" s="32" t="s">
        <v>234</v>
      </c>
      <c r="B28" s="41" t="s">
        <v>235</v>
      </c>
      <c r="C28" s="46">
        <v>12713.6</v>
      </c>
      <c r="D28" s="84" t="str">
        <f>HYPERLINK("https://osu.ppy.sh/u/3409977","TheKushVanMan")</f>
        <v>TheKushVanMan</v>
      </c>
      <c r="E28" s="52" t="s">
        <v>28</v>
      </c>
      <c r="F28" s="63">
        <v>2400.0</v>
      </c>
      <c r="G28" s="37" t="s">
        <v>236</v>
      </c>
      <c r="H28" s="37" t="s">
        <v>67</v>
      </c>
      <c r="I28" s="37" t="s">
        <v>31</v>
      </c>
      <c r="J28" s="38" t="s">
        <v>32</v>
      </c>
      <c r="K28" s="39">
        <v>1000.0</v>
      </c>
      <c r="L28" s="40" t="s">
        <v>237</v>
      </c>
      <c r="M28" s="41" t="s">
        <v>238</v>
      </c>
      <c r="N28" s="40" t="s">
        <v>239</v>
      </c>
      <c r="O28" s="35" t="s">
        <v>70</v>
      </c>
      <c r="P28" s="42">
        <v>126.0</v>
      </c>
      <c r="Q28" s="43">
        <v>128.0</v>
      </c>
      <c r="R28" s="43">
        <v>76.0</v>
      </c>
      <c r="S28" s="43">
        <v>42.0</v>
      </c>
      <c r="T28" s="61" t="s">
        <v>42</v>
      </c>
      <c r="U28" s="41" t="s">
        <v>240</v>
      </c>
      <c r="V28" s="41" t="s">
        <v>74</v>
      </c>
      <c r="Z28" s="45">
        <v>43009.0</v>
      </c>
    </row>
    <row r="29">
      <c r="A29" s="32" t="s">
        <v>46</v>
      </c>
      <c r="B29" s="41" t="s">
        <v>241</v>
      </c>
      <c r="C29" s="46">
        <v>12685.2</v>
      </c>
      <c r="D29" s="47" t="str">
        <f>HYPERLINK("https://osu.ppy.sh/u/5919819","YummyinmyTummy")</f>
        <v>YummyinmyTummy</v>
      </c>
      <c r="E29" s="52" t="s">
        <v>28</v>
      </c>
      <c r="F29" s="36" t="s">
        <v>105</v>
      </c>
      <c r="G29" s="37" t="s">
        <v>29</v>
      </c>
      <c r="H29" s="37" t="s">
        <v>67</v>
      </c>
      <c r="I29" s="37" t="s">
        <v>242</v>
      </c>
      <c r="J29" s="38" t="s">
        <v>32</v>
      </c>
      <c r="K29" s="82"/>
      <c r="L29" s="40" t="s">
        <v>243</v>
      </c>
      <c r="M29" s="40" t="s">
        <v>108</v>
      </c>
      <c r="N29" s="40" t="s">
        <v>179</v>
      </c>
      <c r="O29" s="1" t="s">
        <v>109</v>
      </c>
      <c r="P29" s="85" t="s">
        <v>110</v>
      </c>
      <c r="Q29" s="86" t="s">
        <v>39</v>
      </c>
      <c r="R29" s="87" t="s">
        <v>72</v>
      </c>
      <c r="S29" s="87" t="s">
        <v>41</v>
      </c>
      <c r="T29" s="48" t="s">
        <v>42</v>
      </c>
      <c r="U29" s="40" t="s">
        <v>244</v>
      </c>
      <c r="V29" s="40" t="s">
        <v>44</v>
      </c>
      <c r="Z29" s="45">
        <v>43282.0</v>
      </c>
    </row>
    <row r="30" ht="9.0" customHeight="1">
      <c r="A30" s="32" t="s">
        <v>245</v>
      </c>
      <c r="B30" s="1" t="s">
        <v>246</v>
      </c>
      <c r="C30" s="33">
        <v>12642.6</v>
      </c>
      <c r="D30" s="34" t="str">
        <f>HYPERLINK("https://osu.ppy.sh/u/9748303","South Africa")</f>
        <v>South Africa</v>
      </c>
      <c r="E30" s="41" t="s">
        <v>28</v>
      </c>
      <c r="F30" s="36">
        <v>1600.0</v>
      </c>
      <c r="G30" s="65" t="s">
        <v>29</v>
      </c>
      <c r="H30" s="66" t="s">
        <v>67</v>
      </c>
      <c r="I30" s="65" t="s">
        <v>31</v>
      </c>
      <c r="J30" s="59" t="s">
        <v>32</v>
      </c>
      <c r="K30" s="74" t="s">
        <v>33</v>
      </c>
      <c r="L30" s="40" t="s">
        <v>207</v>
      </c>
      <c r="M30" s="40" t="s">
        <v>247</v>
      </c>
      <c r="N30" s="40" t="s">
        <v>248</v>
      </c>
      <c r="O30" s="41" t="s">
        <v>121</v>
      </c>
      <c r="P30" s="42" t="s">
        <v>249</v>
      </c>
      <c r="Q30" s="43" t="s">
        <v>175</v>
      </c>
      <c r="R30" s="43" t="s">
        <v>250</v>
      </c>
      <c r="S30" s="43" t="s">
        <v>251</v>
      </c>
      <c r="T30" s="88" t="s">
        <v>53</v>
      </c>
      <c r="U30" s="40" t="s">
        <v>252</v>
      </c>
      <c r="V30" s="40" t="s">
        <v>203</v>
      </c>
      <c r="Z30" s="45">
        <v>43709.0</v>
      </c>
    </row>
    <row r="31">
      <c r="A31" s="32" t="s">
        <v>253</v>
      </c>
      <c r="B31" s="41" t="s">
        <v>254</v>
      </c>
      <c r="C31" s="46">
        <v>12618.1</v>
      </c>
      <c r="D31" s="84" t="str">
        <f>HYPERLINK("https://osu.ppy.sh/u/6574823","haga1115")</f>
        <v>haga1115</v>
      </c>
      <c r="E31" s="41" t="s">
        <v>255</v>
      </c>
      <c r="F31" s="63">
        <v>800.0</v>
      </c>
      <c r="G31" s="65" t="s">
        <v>29</v>
      </c>
      <c r="H31" s="65" t="s">
        <v>256</v>
      </c>
      <c r="I31" s="65" t="s">
        <v>31</v>
      </c>
      <c r="J31" s="89" t="s">
        <v>32</v>
      </c>
      <c r="K31" s="90"/>
      <c r="L31" s="52" t="s">
        <v>257</v>
      </c>
      <c r="M31" s="41" t="s">
        <v>258</v>
      </c>
      <c r="N31" s="41" t="s">
        <v>259</v>
      </c>
      <c r="O31" s="35"/>
      <c r="P31" s="50"/>
      <c r="Q31" s="51"/>
      <c r="R31" s="51"/>
      <c r="S31" s="51"/>
      <c r="T31" s="61"/>
      <c r="U31" s="41" t="s">
        <v>260</v>
      </c>
      <c r="V31" s="41" t="s">
        <v>63</v>
      </c>
      <c r="Z31" s="45">
        <v>42795.0</v>
      </c>
    </row>
    <row r="32">
      <c r="A32" s="32" t="s">
        <v>57</v>
      </c>
      <c r="B32" s="41" t="s">
        <v>261</v>
      </c>
      <c r="C32" s="46">
        <v>12611.1</v>
      </c>
      <c r="D32" s="47" t="str">
        <f>HYPERLINK("https://osu.ppy.sh/u/2572468","[ nong422 ]")</f>
        <v>[ nong422 ]</v>
      </c>
      <c r="E32" s="52" t="s">
        <v>28</v>
      </c>
      <c r="F32" s="36" t="s">
        <v>105</v>
      </c>
      <c r="G32" s="37" t="s">
        <v>29</v>
      </c>
      <c r="H32" s="37" t="s">
        <v>262</v>
      </c>
      <c r="I32" s="37" t="s">
        <v>98</v>
      </c>
      <c r="J32" s="38" t="s">
        <v>32</v>
      </c>
      <c r="K32" s="82"/>
      <c r="L32" s="40" t="s">
        <v>263</v>
      </c>
      <c r="M32" s="40" t="s">
        <v>264</v>
      </c>
      <c r="N32" s="40"/>
      <c r="O32" s="35" t="s">
        <v>201</v>
      </c>
      <c r="P32" s="79"/>
      <c r="Q32" s="80"/>
      <c r="R32" s="80"/>
      <c r="S32" s="80"/>
      <c r="T32" s="69"/>
      <c r="U32" s="40" t="s">
        <v>180</v>
      </c>
      <c r="V32" s="40" t="s">
        <v>89</v>
      </c>
      <c r="Z32" s="45">
        <v>43497.0</v>
      </c>
    </row>
    <row r="33">
      <c r="A33" s="32" t="s">
        <v>265</v>
      </c>
      <c r="B33" s="1" t="s">
        <v>266</v>
      </c>
      <c r="C33" s="33">
        <v>12608.9</v>
      </c>
      <c r="D33" s="34" t="str">
        <f>HYPERLINK("https://osu.ppy.sh/u/8370755","_Twent")</f>
        <v>_Twent</v>
      </c>
      <c r="E33" s="41" t="s">
        <v>28</v>
      </c>
      <c r="F33" s="48" t="s">
        <v>105</v>
      </c>
      <c r="G33" s="48" t="s">
        <v>29</v>
      </c>
      <c r="H33" s="48" t="s">
        <v>67</v>
      </c>
      <c r="I33" s="48" t="s">
        <v>267</v>
      </c>
      <c r="J33" s="59" t="s">
        <v>192</v>
      </c>
      <c r="K33" s="53"/>
      <c r="L33" s="1" t="s">
        <v>129</v>
      </c>
      <c r="M33" s="55" t="s">
        <v>139</v>
      </c>
      <c r="N33" s="55" t="s">
        <v>268</v>
      </c>
      <c r="O33" s="40" t="s">
        <v>141</v>
      </c>
      <c r="P33" s="42" t="s">
        <v>71</v>
      </c>
      <c r="Q33" s="43" t="s">
        <v>39</v>
      </c>
      <c r="R33" s="43" t="s">
        <v>72</v>
      </c>
      <c r="S33" s="43" t="s">
        <v>41</v>
      </c>
      <c r="T33" s="40" t="s">
        <v>42</v>
      </c>
      <c r="U33" s="55" t="s">
        <v>269</v>
      </c>
      <c r="V33" s="55" t="s">
        <v>89</v>
      </c>
      <c r="Z33" s="45">
        <v>44013.0</v>
      </c>
      <c r="AA33" s="57"/>
    </row>
    <row r="34">
      <c r="A34" s="32" t="s">
        <v>270</v>
      </c>
      <c r="B34" s="41" t="s">
        <v>271</v>
      </c>
      <c r="C34" s="46">
        <v>12559.4</v>
      </c>
      <c r="D34" s="84" t="str">
        <f>HYPERLINK("https://osu.ppy.sh/u/5240155","- DARK -")</f>
        <v>- DARK -</v>
      </c>
      <c r="E34" s="41" t="s">
        <v>28</v>
      </c>
      <c r="F34" s="63">
        <v>1400.0</v>
      </c>
      <c r="G34" s="65" t="s">
        <v>29</v>
      </c>
      <c r="H34" s="65" t="s">
        <v>67</v>
      </c>
      <c r="I34" s="65" t="s">
        <v>31</v>
      </c>
      <c r="J34" s="89" t="s">
        <v>32</v>
      </c>
      <c r="K34" s="71">
        <v>1000.0</v>
      </c>
      <c r="L34" s="52" t="s">
        <v>272</v>
      </c>
      <c r="M34" s="41" t="s">
        <v>130</v>
      </c>
      <c r="N34" s="41" t="s">
        <v>273</v>
      </c>
      <c r="O34" s="1" t="s">
        <v>70</v>
      </c>
      <c r="P34" s="72" t="s">
        <v>132</v>
      </c>
      <c r="Q34" s="73">
        <v>124.0</v>
      </c>
      <c r="R34" s="73">
        <v>68.0</v>
      </c>
      <c r="S34" s="73">
        <v>43.0</v>
      </c>
      <c r="T34" s="61" t="s">
        <v>42</v>
      </c>
      <c r="U34" s="40" t="s">
        <v>274</v>
      </c>
      <c r="V34" s="40" t="s">
        <v>74</v>
      </c>
      <c r="Z34" s="45">
        <v>44013.0</v>
      </c>
    </row>
    <row r="35">
      <c r="A35" s="32" t="s">
        <v>275</v>
      </c>
      <c r="B35" s="41" t="s">
        <v>276</v>
      </c>
      <c r="C35" s="46">
        <v>12468.7</v>
      </c>
      <c r="D35" s="62" t="str">
        <f>HYPERLINK("https://osu.ppy.sh/u/2021758","Wilchq")</f>
        <v>Wilchq</v>
      </c>
      <c r="E35" s="52" t="s">
        <v>28</v>
      </c>
      <c r="F35" s="63">
        <v>800.0</v>
      </c>
      <c r="G35" s="66" t="s">
        <v>128</v>
      </c>
      <c r="H35" s="66" t="s">
        <v>67</v>
      </c>
      <c r="I35" s="66" t="s">
        <v>31</v>
      </c>
      <c r="J35" s="70" t="s">
        <v>192</v>
      </c>
      <c r="K35" s="71">
        <v>1000.0</v>
      </c>
      <c r="L35" s="61" t="s">
        <v>222</v>
      </c>
      <c r="M35" s="41" t="s">
        <v>277</v>
      </c>
      <c r="N35" s="35" t="s">
        <v>61</v>
      </c>
      <c r="O35" s="35" t="s">
        <v>278</v>
      </c>
      <c r="P35" s="72">
        <v>87.0</v>
      </c>
      <c r="Q35" s="73">
        <v>121.0</v>
      </c>
      <c r="R35" s="73">
        <v>71.0</v>
      </c>
      <c r="S35" s="73">
        <v>40.0</v>
      </c>
      <c r="T35" s="44" t="s">
        <v>42</v>
      </c>
      <c r="U35" s="75" t="s">
        <v>88</v>
      </c>
      <c r="V35" s="75" t="s">
        <v>89</v>
      </c>
    </row>
    <row r="36">
      <c r="A36" s="32" t="s">
        <v>65</v>
      </c>
      <c r="B36" s="41" t="s">
        <v>279</v>
      </c>
      <c r="C36" s="46">
        <v>12445.7</v>
      </c>
      <c r="D36" s="47" t="str">
        <f>HYPERLINK("https://osu.ppy.sh/u/5642779","heyronii")</f>
        <v>heyronii</v>
      </c>
      <c r="E36" s="52" t="s">
        <v>28</v>
      </c>
      <c r="F36" s="36" t="s">
        <v>77</v>
      </c>
      <c r="G36" s="37" t="s">
        <v>29</v>
      </c>
      <c r="H36" s="37" t="s">
        <v>67</v>
      </c>
      <c r="I36" s="37" t="s">
        <v>280</v>
      </c>
      <c r="J36" s="38" t="s">
        <v>32</v>
      </c>
      <c r="K36" s="39" t="s">
        <v>33</v>
      </c>
      <c r="L36" s="69"/>
      <c r="M36" s="40" t="s">
        <v>130</v>
      </c>
      <c r="N36" s="40" t="s">
        <v>179</v>
      </c>
      <c r="O36" s="1" t="s">
        <v>70</v>
      </c>
      <c r="P36" s="72" t="s">
        <v>132</v>
      </c>
      <c r="Q36" s="73">
        <v>124.0</v>
      </c>
      <c r="R36" s="73">
        <v>68.0</v>
      </c>
      <c r="S36" s="73">
        <v>43.0</v>
      </c>
      <c r="T36" s="61" t="s">
        <v>42</v>
      </c>
      <c r="U36" s="40" t="s">
        <v>281</v>
      </c>
      <c r="V36" s="40" t="s">
        <v>74</v>
      </c>
      <c r="Z36" s="45">
        <v>43374.0</v>
      </c>
    </row>
    <row r="37">
      <c r="A37" s="32" t="s">
        <v>76</v>
      </c>
      <c r="B37" s="41" t="s">
        <v>282</v>
      </c>
      <c r="C37" s="46">
        <v>12422.7</v>
      </c>
      <c r="D37" s="47" t="str">
        <f>HYPERLINK("https://osu.ppy.sh/u/1492995","zonelouise")</f>
        <v>zonelouise</v>
      </c>
      <c r="E37" s="52" t="s">
        <v>28</v>
      </c>
      <c r="F37" s="36" t="s">
        <v>77</v>
      </c>
      <c r="G37" s="37" t="s">
        <v>29</v>
      </c>
      <c r="H37" s="37" t="s">
        <v>67</v>
      </c>
      <c r="I37" s="37" t="s">
        <v>31</v>
      </c>
      <c r="J37" s="38" t="s">
        <v>32</v>
      </c>
      <c r="K37" s="39" t="s">
        <v>33</v>
      </c>
      <c r="L37" s="1" t="s">
        <v>222</v>
      </c>
      <c r="M37" s="40" t="s">
        <v>147</v>
      </c>
      <c r="N37" s="40" t="s">
        <v>92</v>
      </c>
      <c r="O37" s="1" t="s">
        <v>149</v>
      </c>
      <c r="P37" s="48" t="s">
        <v>150</v>
      </c>
      <c r="Q37" s="73" t="s">
        <v>151</v>
      </c>
      <c r="R37" s="48" t="s">
        <v>152</v>
      </c>
      <c r="S37" s="48" t="s">
        <v>41</v>
      </c>
      <c r="T37" s="52" t="s">
        <v>153</v>
      </c>
      <c r="U37" s="40" t="s">
        <v>283</v>
      </c>
      <c r="V37" s="40" t="s">
        <v>74</v>
      </c>
      <c r="Z37" s="45">
        <v>43983.0</v>
      </c>
    </row>
    <row r="38">
      <c r="A38" s="32" t="s">
        <v>284</v>
      </c>
      <c r="B38" s="1" t="s">
        <v>285</v>
      </c>
      <c r="C38" s="33">
        <v>12393.4</v>
      </c>
      <c r="D38" s="34" t="str">
        <f>HYPERLINK("https://osu.ppy.sh/u/3163649","GfMRT")</f>
        <v>GfMRT</v>
      </c>
      <c r="E38" s="41" t="s">
        <v>28</v>
      </c>
      <c r="F38" s="58" t="s">
        <v>286</v>
      </c>
      <c r="G38" s="48" t="s">
        <v>29</v>
      </c>
      <c r="H38" s="48" t="s">
        <v>67</v>
      </c>
      <c r="I38" s="48" t="s">
        <v>31</v>
      </c>
      <c r="J38" s="59" t="s">
        <v>32</v>
      </c>
      <c r="K38" s="60"/>
      <c r="L38" s="1" t="s">
        <v>287</v>
      </c>
      <c r="M38" s="1" t="s">
        <v>288</v>
      </c>
      <c r="O38" s="41" t="s">
        <v>109</v>
      </c>
      <c r="P38" s="42">
        <v>85.0</v>
      </c>
      <c r="Q38" s="43">
        <v>117.0</v>
      </c>
      <c r="R38" s="43">
        <v>62.0</v>
      </c>
      <c r="S38" s="43">
        <v>38.0</v>
      </c>
      <c r="T38" s="40" t="s">
        <v>42</v>
      </c>
      <c r="U38" s="1" t="s">
        <v>289</v>
      </c>
      <c r="V38" s="1" t="s">
        <v>94</v>
      </c>
      <c r="Z38" s="45"/>
    </row>
    <row r="39">
      <c r="A39" s="32" t="s">
        <v>290</v>
      </c>
      <c r="B39" s="1" t="s">
        <v>291</v>
      </c>
      <c r="C39" s="33">
        <v>12334.7</v>
      </c>
      <c r="D39" s="34" t="str">
        <f>HYPERLINK("https://osu.ppy.sh/u/6157605","Topoi")</f>
        <v>Topoi</v>
      </c>
      <c r="E39" s="55" t="s">
        <v>28</v>
      </c>
      <c r="F39" s="58">
        <v>400.0</v>
      </c>
      <c r="G39" s="48" t="s">
        <v>29</v>
      </c>
      <c r="H39" s="48" t="s">
        <v>292</v>
      </c>
      <c r="I39" s="48" t="s">
        <v>293</v>
      </c>
      <c r="J39" s="59" t="s">
        <v>32</v>
      </c>
      <c r="K39" s="74" t="s">
        <v>81</v>
      </c>
      <c r="L39" s="55" t="s">
        <v>243</v>
      </c>
      <c r="M39" s="1" t="s">
        <v>294</v>
      </c>
      <c r="N39" s="1" t="s">
        <v>295</v>
      </c>
      <c r="O39" s="35" t="s">
        <v>52</v>
      </c>
      <c r="P39" s="91"/>
      <c r="Q39" s="92"/>
      <c r="R39" s="93"/>
      <c r="S39" s="93"/>
      <c r="T39" s="53"/>
      <c r="U39" s="55" t="s">
        <v>296</v>
      </c>
      <c r="V39" s="1" t="s">
        <v>89</v>
      </c>
      <c r="Z39" s="45">
        <v>43040.0</v>
      </c>
    </row>
    <row r="40">
      <c r="A40" s="32" t="s">
        <v>297</v>
      </c>
      <c r="B40" s="41" t="s">
        <v>298</v>
      </c>
      <c r="C40" s="46">
        <v>12298.5</v>
      </c>
      <c r="D40" s="84" t="str">
        <f>HYPERLINK("https://osu.ppy.sh/u/1440585","FreeDom")</f>
        <v>FreeDom</v>
      </c>
      <c r="E40" s="41" t="s">
        <v>28</v>
      </c>
      <c r="F40" s="63">
        <v>1000.0</v>
      </c>
      <c r="G40" s="65" t="s">
        <v>78</v>
      </c>
      <c r="H40" s="65" t="s">
        <v>67</v>
      </c>
      <c r="I40" s="65" t="s">
        <v>299</v>
      </c>
      <c r="J40" s="89" t="s">
        <v>192</v>
      </c>
      <c r="K40" s="71"/>
      <c r="L40" s="52" t="s">
        <v>207</v>
      </c>
      <c r="M40" s="41" t="s">
        <v>300</v>
      </c>
      <c r="N40" s="41" t="s">
        <v>259</v>
      </c>
      <c r="O40" s="35"/>
      <c r="P40" s="50"/>
      <c r="Q40" s="51"/>
      <c r="R40" s="51"/>
      <c r="S40" s="51"/>
      <c r="T40" s="44"/>
      <c r="U40" s="40" t="s">
        <v>301</v>
      </c>
      <c r="V40" s="40" t="s">
        <v>63</v>
      </c>
      <c r="Z40" s="45">
        <v>42826.0</v>
      </c>
    </row>
    <row r="41">
      <c r="A41" s="32" t="s">
        <v>91</v>
      </c>
      <c r="B41" s="1" t="s">
        <v>302</v>
      </c>
      <c r="C41" s="33">
        <v>12207.5</v>
      </c>
      <c r="D41" s="34" t="str">
        <f>HYPERLINK("https://osu.ppy.sh/u/10240089","Kelathis")</f>
        <v>Kelathis</v>
      </c>
      <c r="E41" s="52" t="s">
        <v>28</v>
      </c>
      <c r="F41" s="58" t="s">
        <v>303</v>
      </c>
      <c r="G41" s="48" t="s">
        <v>29</v>
      </c>
      <c r="H41" s="48" t="s">
        <v>304</v>
      </c>
      <c r="I41" s="48" t="s">
        <v>267</v>
      </c>
      <c r="J41" s="59" t="s">
        <v>32</v>
      </c>
      <c r="K41" s="74" t="s">
        <v>81</v>
      </c>
      <c r="L41" s="1" t="s">
        <v>305</v>
      </c>
      <c r="M41" s="1" t="s">
        <v>108</v>
      </c>
      <c r="N41" s="1" t="s">
        <v>306</v>
      </c>
      <c r="O41" s="1" t="s">
        <v>109</v>
      </c>
      <c r="P41" s="85" t="s">
        <v>110</v>
      </c>
      <c r="Q41" s="86" t="s">
        <v>39</v>
      </c>
      <c r="R41" s="87" t="s">
        <v>72</v>
      </c>
      <c r="S41" s="87" t="s">
        <v>41</v>
      </c>
      <c r="T41" s="48" t="s">
        <v>42</v>
      </c>
      <c r="U41" s="1" t="s">
        <v>307</v>
      </c>
      <c r="V41" s="1" t="s">
        <v>89</v>
      </c>
      <c r="Z41" s="45">
        <v>43862.0</v>
      </c>
    </row>
    <row r="42">
      <c r="A42" s="32" t="s">
        <v>308</v>
      </c>
      <c r="B42" s="1" t="s">
        <v>309</v>
      </c>
      <c r="C42" s="33">
        <v>12196.7</v>
      </c>
      <c r="D42" s="34" t="str">
        <f>HYPERLINK("https://osu.ppy.sh/u/6427216","Blazink")</f>
        <v>Blazink</v>
      </c>
      <c r="E42" s="55" t="s">
        <v>28</v>
      </c>
      <c r="F42" s="58" t="s">
        <v>58</v>
      </c>
      <c r="G42" s="48" t="s">
        <v>29</v>
      </c>
      <c r="H42" s="48" t="s">
        <v>310</v>
      </c>
      <c r="I42" s="48" t="s">
        <v>311</v>
      </c>
      <c r="J42" s="59" t="s">
        <v>32</v>
      </c>
      <c r="K42" s="74" t="s">
        <v>81</v>
      </c>
      <c r="L42" s="55" t="s">
        <v>312</v>
      </c>
      <c r="M42" s="1" t="s">
        <v>313</v>
      </c>
      <c r="N42" s="1" t="s">
        <v>92</v>
      </c>
      <c r="O42" s="35" t="s">
        <v>314</v>
      </c>
      <c r="P42" s="72">
        <v>80.0</v>
      </c>
      <c r="Q42" s="73">
        <v>117.0</v>
      </c>
      <c r="R42" s="73">
        <v>64.0</v>
      </c>
      <c r="S42" s="73">
        <v>38.0</v>
      </c>
      <c r="T42" s="61" t="s">
        <v>42</v>
      </c>
      <c r="U42" s="55" t="s">
        <v>315</v>
      </c>
      <c r="V42" s="1" t="s">
        <v>94</v>
      </c>
      <c r="Z42" s="45">
        <v>43282.0</v>
      </c>
    </row>
    <row r="43">
      <c r="A43" s="32" t="s">
        <v>316</v>
      </c>
      <c r="B43" s="41" t="s">
        <v>317</v>
      </c>
      <c r="C43" s="46">
        <v>12186.4</v>
      </c>
      <c r="D43" s="83" t="str">
        <f>HYPERLINK("https://osu.ppy.sh/u/6879408","yasen")</f>
        <v>yasen</v>
      </c>
      <c r="E43" s="41" t="s">
        <v>28</v>
      </c>
      <c r="F43" s="63">
        <v>800.0</v>
      </c>
      <c r="G43" s="65" t="s">
        <v>29</v>
      </c>
      <c r="H43" s="65" t="s">
        <v>67</v>
      </c>
      <c r="I43" s="65" t="s">
        <v>98</v>
      </c>
      <c r="J43" s="89" t="s">
        <v>32</v>
      </c>
      <c r="K43" s="39" t="s">
        <v>33</v>
      </c>
      <c r="L43" s="52" t="s">
        <v>318</v>
      </c>
      <c r="M43" s="41" t="s">
        <v>130</v>
      </c>
      <c r="N43" s="41" t="s">
        <v>179</v>
      </c>
      <c r="O43" s="1" t="s">
        <v>70</v>
      </c>
      <c r="P43" s="72" t="s">
        <v>132</v>
      </c>
      <c r="Q43" s="73">
        <v>124.0</v>
      </c>
      <c r="R43" s="73">
        <v>68.0</v>
      </c>
      <c r="S43" s="73">
        <v>43.0</v>
      </c>
      <c r="T43" s="61" t="s">
        <v>42</v>
      </c>
      <c r="U43" s="41" t="s">
        <v>117</v>
      </c>
      <c r="V43" s="41" t="s">
        <v>74</v>
      </c>
      <c r="Z43" s="45">
        <v>42826.0</v>
      </c>
    </row>
    <row r="44">
      <c r="A44" s="32" t="s">
        <v>96</v>
      </c>
      <c r="B44" s="41" t="s">
        <v>319</v>
      </c>
      <c r="C44" s="46">
        <v>12184.8</v>
      </c>
      <c r="D44" s="83" t="str">
        <f>HYPERLINK("https://osu.ppy.sh/u/2734971","bango")</f>
        <v>bango</v>
      </c>
      <c r="E44" s="52" t="s">
        <v>320</v>
      </c>
      <c r="F44" s="63">
        <v>1600.0</v>
      </c>
      <c r="G44" s="65" t="s">
        <v>29</v>
      </c>
      <c r="H44" s="65" t="s">
        <v>79</v>
      </c>
      <c r="I44" s="65" t="s">
        <v>31</v>
      </c>
      <c r="J44" s="89" t="s">
        <v>32</v>
      </c>
      <c r="K44" s="71">
        <v>1000.0</v>
      </c>
      <c r="L44" s="52" t="s">
        <v>129</v>
      </c>
      <c r="M44" s="41" t="s">
        <v>321</v>
      </c>
      <c r="N44" s="41" t="s">
        <v>92</v>
      </c>
      <c r="O44" s="41" t="s">
        <v>121</v>
      </c>
      <c r="P44" s="72" t="s">
        <v>84</v>
      </c>
      <c r="Q44" s="73" t="s">
        <v>175</v>
      </c>
      <c r="R44" s="73" t="s">
        <v>322</v>
      </c>
      <c r="S44" s="73" t="s">
        <v>323</v>
      </c>
      <c r="T44" s="61" t="s">
        <v>42</v>
      </c>
      <c r="U44" s="41" t="s">
        <v>324</v>
      </c>
      <c r="V44" s="41" t="s">
        <v>74</v>
      </c>
      <c r="Z44" s="45">
        <v>43405.0</v>
      </c>
    </row>
    <row r="45">
      <c r="A45" s="32" t="s">
        <v>325</v>
      </c>
      <c r="B45" s="41" t="s">
        <v>326</v>
      </c>
      <c r="C45" s="46">
        <v>12165.0</v>
      </c>
      <c r="D45" s="62" t="str">
        <f>HYPERLINK("https://osu.ppy.sh/u/2199427","MioMilo")</f>
        <v>MioMilo</v>
      </c>
      <c r="E45" s="61" t="s">
        <v>28</v>
      </c>
      <c r="F45" s="63">
        <v>800.0</v>
      </c>
      <c r="G45" s="66" t="s">
        <v>29</v>
      </c>
      <c r="H45" s="66" t="s">
        <v>67</v>
      </c>
      <c r="I45" s="37" t="s">
        <v>267</v>
      </c>
      <c r="J45" s="38" t="s">
        <v>192</v>
      </c>
      <c r="K45" s="82"/>
      <c r="L45" s="40" t="s">
        <v>129</v>
      </c>
      <c r="M45" s="41" t="s">
        <v>327</v>
      </c>
      <c r="N45" s="40" t="s">
        <v>328</v>
      </c>
      <c r="O45" s="40" t="s">
        <v>141</v>
      </c>
      <c r="P45" s="42" t="s">
        <v>187</v>
      </c>
      <c r="Q45" s="43" t="s">
        <v>39</v>
      </c>
      <c r="R45" s="43" t="s">
        <v>72</v>
      </c>
      <c r="S45" s="43" t="s">
        <v>329</v>
      </c>
      <c r="T45" s="61" t="s">
        <v>42</v>
      </c>
      <c r="U45" s="40" t="s">
        <v>117</v>
      </c>
      <c r="V45" s="40" t="s">
        <v>94</v>
      </c>
      <c r="Z45" s="45">
        <v>43952.0</v>
      </c>
    </row>
    <row r="46">
      <c r="A46" s="32" t="s">
        <v>330</v>
      </c>
      <c r="B46" s="41" t="s">
        <v>331</v>
      </c>
      <c r="C46" s="46">
        <v>12153.7</v>
      </c>
      <c r="D46" s="83" t="str">
        <f>HYPERLINK("https://osu.ppy.sh/u/4322869","Aknama")</f>
        <v>Aknama</v>
      </c>
      <c r="E46" s="52" t="s">
        <v>28</v>
      </c>
      <c r="F46" s="36">
        <v>1680.0</v>
      </c>
      <c r="G46" s="37" t="s">
        <v>29</v>
      </c>
      <c r="H46" s="37" t="s">
        <v>67</v>
      </c>
      <c r="I46" s="37" t="s">
        <v>31</v>
      </c>
      <c r="J46" s="38" t="s">
        <v>32</v>
      </c>
      <c r="K46" s="82"/>
      <c r="L46" s="40" t="s">
        <v>332</v>
      </c>
      <c r="M46" s="40" t="s">
        <v>199</v>
      </c>
      <c r="N46" s="40" t="s">
        <v>179</v>
      </c>
      <c r="O46" s="35" t="s">
        <v>201</v>
      </c>
      <c r="P46" s="72">
        <v>103.0</v>
      </c>
      <c r="Q46" s="73">
        <v>136.0</v>
      </c>
      <c r="R46" s="73">
        <v>72.0</v>
      </c>
      <c r="S46" s="73">
        <v>41.0</v>
      </c>
      <c r="T46" s="61" t="s">
        <v>42</v>
      </c>
      <c r="U46" s="40" t="s">
        <v>333</v>
      </c>
      <c r="V46" s="40" t="s">
        <v>203</v>
      </c>
      <c r="Z46" s="45">
        <v>42795.0</v>
      </c>
    </row>
    <row r="47">
      <c r="A47" s="32" t="s">
        <v>104</v>
      </c>
      <c r="B47" s="1" t="s">
        <v>334</v>
      </c>
      <c r="C47" s="33">
        <v>12138.6</v>
      </c>
      <c r="D47" s="94" t="str">
        <f>HYPERLINK("https://osu.ppy.sh/u/6591496","SadnessWillSear")</f>
        <v>SadnessWillSear</v>
      </c>
      <c r="E47" s="1" t="s">
        <v>28</v>
      </c>
      <c r="F47" s="48" t="s">
        <v>335</v>
      </c>
      <c r="G47" s="53"/>
      <c r="H47" s="48" t="s">
        <v>67</v>
      </c>
      <c r="I47" s="48" t="s">
        <v>336</v>
      </c>
      <c r="J47" s="54"/>
      <c r="M47" s="1" t="s">
        <v>337</v>
      </c>
    </row>
    <row r="48">
      <c r="A48" s="32" t="s">
        <v>338</v>
      </c>
      <c r="B48" s="41" t="s">
        <v>339</v>
      </c>
      <c r="C48" s="46">
        <v>12127.6</v>
      </c>
      <c r="D48" s="47" t="str">
        <f>HYPERLINK("https://osu.ppy.sh/u/4141918","Thundur")</f>
        <v>Thundur</v>
      </c>
      <c r="E48" s="52" t="s">
        <v>320</v>
      </c>
      <c r="F48" s="36" t="s">
        <v>340</v>
      </c>
      <c r="G48" s="37" t="s">
        <v>29</v>
      </c>
      <c r="H48" s="37" t="s">
        <v>262</v>
      </c>
      <c r="I48" s="37" t="s">
        <v>31</v>
      </c>
      <c r="J48" s="38" t="s">
        <v>32</v>
      </c>
      <c r="K48" s="39" t="s">
        <v>33</v>
      </c>
      <c r="L48" s="40" t="s">
        <v>341</v>
      </c>
      <c r="M48" s="40" t="s">
        <v>342</v>
      </c>
      <c r="N48" s="40" t="s">
        <v>343</v>
      </c>
      <c r="O48" s="40" t="s">
        <v>344</v>
      </c>
      <c r="P48" s="42" t="s">
        <v>345</v>
      </c>
      <c r="Q48" s="43" t="s">
        <v>346</v>
      </c>
      <c r="R48" s="43" t="s">
        <v>347</v>
      </c>
      <c r="S48" s="43" t="s">
        <v>348</v>
      </c>
      <c r="T48" s="40" t="s">
        <v>42</v>
      </c>
      <c r="U48" s="40" t="s">
        <v>252</v>
      </c>
      <c r="V48" s="40" t="s">
        <v>252</v>
      </c>
      <c r="Z48" s="45">
        <v>43374.0</v>
      </c>
    </row>
    <row r="49">
      <c r="A49" s="32" t="s">
        <v>111</v>
      </c>
      <c r="B49" s="1" t="s">
        <v>349</v>
      </c>
      <c r="C49" s="33">
        <v>12121.7</v>
      </c>
      <c r="D49" s="95" t="str">
        <f>HYPERLINK("https://osu.ppy.sh/u/7216681","ramtin")</f>
        <v>ramtin</v>
      </c>
      <c r="E49" s="41" t="s">
        <v>28</v>
      </c>
      <c r="F49" s="58" t="s">
        <v>77</v>
      </c>
      <c r="G49" s="48" t="s">
        <v>29</v>
      </c>
      <c r="H49" s="48" t="s">
        <v>350</v>
      </c>
      <c r="I49" s="48" t="s">
        <v>31</v>
      </c>
      <c r="J49" s="59" t="s">
        <v>32</v>
      </c>
      <c r="K49" s="74" t="s">
        <v>33</v>
      </c>
      <c r="L49" s="1" t="s">
        <v>351</v>
      </c>
      <c r="M49" s="1" t="s">
        <v>108</v>
      </c>
      <c r="N49" s="1" t="s">
        <v>179</v>
      </c>
      <c r="O49" s="1" t="s">
        <v>109</v>
      </c>
      <c r="P49" s="85" t="s">
        <v>110</v>
      </c>
      <c r="Q49" s="86" t="s">
        <v>39</v>
      </c>
      <c r="R49" s="87" t="s">
        <v>72</v>
      </c>
      <c r="S49" s="87" t="s">
        <v>41</v>
      </c>
      <c r="T49" s="48" t="s">
        <v>42</v>
      </c>
      <c r="U49" s="1" t="s">
        <v>352</v>
      </c>
      <c r="V49" s="1" t="s">
        <v>353</v>
      </c>
      <c r="Z49" s="45">
        <v>43252.0</v>
      </c>
    </row>
    <row r="50">
      <c r="A50" s="32" t="s">
        <v>354</v>
      </c>
      <c r="B50" s="41" t="s">
        <v>355</v>
      </c>
      <c r="C50" s="46">
        <v>12087.4</v>
      </c>
      <c r="D50" s="83" t="str">
        <f>HYPERLINK("https://osu.ppy.sh/u/4511522","Doomsday fanboy")</f>
        <v>Doomsday fanboy</v>
      </c>
      <c r="E50" s="41" t="s">
        <v>28</v>
      </c>
      <c r="F50" s="63">
        <v>800.0</v>
      </c>
      <c r="G50" s="65" t="s">
        <v>29</v>
      </c>
      <c r="H50" s="65" t="s">
        <v>67</v>
      </c>
      <c r="I50" s="65" t="s">
        <v>98</v>
      </c>
      <c r="J50" s="89" t="s">
        <v>32</v>
      </c>
      <c r="K50" s="39">
        <v>1000.0</v>
      </c>
      <c r="L50" s="52" t="s">
        <v>129</v>
      </c>
      <c r="M50" s="41" t="s">
        <v>356</v>
      </c>
      <c r="N50" s="40" t="s">
        <v>357</v>
      </c>
      <c r="O50" s="35" t="s">
        <v>278</v>
      </c>
      <c r="P50" s="72">
        <v>90.0</v>
      </c>
      <c r="Q50" s="73">
        <v>115.0</v>
      </c>
      <c r="R50" s="73">
        <v>63.0</v>
      </c>
      <c r="S50" s="73">
        <v>38.0</v>
      </c>
      <c r="T50" s="61" t="s">
        <v>42</v>
      </c>
      <c r="U50" s="41" t="s">
        <v>358</v>
      </c>
      <c r="V50" s="41" t="s">
        <v>94</v>
      </c>
      <c r="Z50" s="45">
        <v>42826.0</v>
      </c>
    </row>
    <row r="51">
      <c r="A51" s="32" t="s">
        <v>359</v>
      </c>
      <c r="B51" s="1" t="s">
        <v>360</v>
      </c>
      <c r="C51" s="33">
        <v>12082.4</v>
      </c>
      <c r="D51" s="34" t="str">
        <f>HYPERLINK("https://osu.ppy.sh/u/4099626","-NeBu-")</f>
        <v>-NeBu-</v>
      </c>
      <c r="E51" s="1" t="s">
        <v>28</v>
      </c>
      <c r="F51" s="58" t="s">
        <v>361</v>
      </c>
      <c r="G51" s="48" t="s">
        <v>29</v>
      </c>
      <c r="H51" s="48" t="s">
        <v>362</v>
      </c>
      <c r="I51" s="48" t="s">
        <v>31</v>
      </c>
      <c r="J51" s="59" t="s">
        <v>32</v>
      </c>
      <c r="K51" s="74" t="s">
        <v>33</v>
      </c>
      <c r="L51" s="1" t="s">
        <v>363</v>
      </c>
      <c r="M51" s="1" t="s">
        <v>364</v>
      </c>
      <c r="N51" s="1" t="s">
        <v>61</v>
      </c>
      <c r="O51" s="41" t="s">
        <v>365</v>
      </c>
      <c r="P51" s="85" t="s">
        <v>366</v>
      </c>
      <c r="Q51" s="87" t="s">
        <v>367</v>
      </c>
      <c r="R51" s="87" t="s">
        <v>347</v>
      </c>
      <c r="S51" s="87" t="s">
        <v>368</v>
      </c>
      <c r="T51" s="61" t="s">
        <v>42</v>
      </c>
      <c r="U51" s="1" t="s">
        <v>369</v>
      </c>
      <c r="V51" s="1" t="s">
        <v>74</v>
      </c>
      <c r="Z51" s="45">
        <v>43070.0</v>
      </c>
    </row>
    <row r="52">
      <c r="A52" s="32" t="s">
        <v>370</v>
      </c>
      <c r="B52" s="41" t="s">
        <v>371</v>
      </c>
      <c r="C52" s="46">
        <v>12055.7</v>
      </c>
      <c r="D52" s="62" t="str">
        <f>HYPERLINK("https://osu.ppy.sh/u/4260383","chankoma")</f>
        <v>chankoma</v>
      </c>
      <c r="E52" s="35" t="s">
        <v>372</v>
      </c>
      <c r="F52" s="63" t="s">
        <v>58</v>
      </c>
      <c r="G52" s="66" t="s">
        <v>29</v>
      </c>
      <c r="H52" s="66" t="s">
        <v>67</v>
      </c>
      <c r="I52" s="65" t="s">
        <v>373</v>
      </c>
      <c r="J52" s="70" t="s">
        <v>192</v>
      </c>
      <c r="K52" s="39" t="s">
        <v>33</v>
      </c>
      <c r="L52" s="52" t="s">
        <v>99</v>
      </c>
      <c r="M52" s="41" t="s">
        <v>374</v>
      </c>
      <c r="N52" s="41" t="s">
        <v>375</v>
      </c>
      <c r="O52" s="35"/>
      <c r="P52" s="72"/>
      <c r="Q52" s="73"/>
      <c r="R52" s="73"/>
      <c r="S52" s="73"/>
      <c r="T52" s="44"/>
      <c r="U52" s="41" t="s">
        <v>376</v>
      </c>
      <c r="V52" s="41" t="s">
        <v>63</v>
      </c>
    </row>
    <row r="53">
      <c r="A53" s="32" t="s">
        <v>377</v>
      </c>
      <c r="B53" s="1" t="s">
        <v>378</v>
      </c>
      <c r="C53" s="33">
        <v>12043.7</v>
      </c>
      <c r="D53" s="34" t="str">
        <f>HYPERLINK("https://osu.ppy.sh/u/11604978","oepep")</f>
        <v>oepep</v>
      </c>
      <c r="E53" s="55" t="s">
        <v>28</v>
      </c>
      <c r="F53" s="48" t="s">
        <v>47</v>
      </c>
      <c r="G53" s="48" t="s">
        <v>29</v>
      </c>
      <c r="H53" s="48" t="s">
        <v>256</v>
      </c>
      <c r="I53" s="48" t="s">
        <v>31</v>
      </c>
      <c r="J53" s="59" t="s">
        <v>32</v>
      </c>
      <c r="K53" s="71">
        <v>1000.0</v>
      </c>
      <c r="L53" s="1" t="s">
        <v>379</v>
      </c>
      <c r="M53" s="55" t="s">
        <v>380</v>
      </c>
      <c r="N53" s="55" t="s">
        <v>381</v>
      </c>
      <c r="O53" s="1" t="s">
        <v>141</v>
      </c>
      <c r="P53" s="42">
        <v>126.0</v>
      </c>
      <c r="Q53" s="43">
        <v>128.0</v>
      </c>
      <c r="R53" s="43">
        <v>76.0</v>
      </c>
      <c r="S53" s="43">
        <v>42.0</v>
      </c>
      <c r="T53" s="61" t="s">
        <v>42</v>
      </c>
      <c r="U53" s="55" t="s">
        <v>382</v>
      </c>
      <c r="V53" s="55" t="s">
        <v>89</v>
      </c>
      <c r="Z53" s="45">
        <v>44105.0</v>
      </c>
      <c r="AA53" s="57"/>
    </row>
    <row r="54">
      <c r="A54" s="32" t="s">
        <v>383</v>
      </c>
      <c r="B54" s="41" t="s">
        <v>384</v>
      </c>
      <c r="C54" s="46">
        <v>12002.8</v>
      </c>
      <c r="D54" s="47" t="str">
        <f>HYPERLINK("https://osu.ppy.sh/u/2944449","Too Slow")</f>
        <v>Too Slow</v>
      </c>
      <c r="E54" s="52" t="s">
        <v>28</v>
      </c>
      <c r="F54" s="36" t="s">
        <v>385</v>
      </c>
      <c r="G54" s="37" t="s">
        <v>29</v>
      </c>
      <c r="H54" s="37" t="s">
        <v>67</v>
      </c>
      <c r="I54" s="37" t="s">
        <v>31</v>
      </c>
      <c r="J54" s="38" t="s">
        <v>32</v>
      </c>
      <c r="K54" s="39" t="s">
        <v>33</v>
      </c>
      <c r="L54" s="40" t="s">
        <v>386</v>
      </c>
      <c r="M54" s="40" t="s">
        <v>199</v>
      </c>
      <c r="N54" s="40" t="s">
        <v>148</v>
      </c>
      <c r="O54" s="35" t="s">
        <v>201</v>
      </c>
      <c r="P54" s="72">
        <v>103.0</v>
      </c>
      <c r="Q54" s="73">
        <v>136.0</v>
      </c>
      <c r="R54" s="73">
        <v>72.0</v>
      </c>
      <c r="S54" s="73">
        <v>41.0</v>
      </c>
      <c r="T54" s="61" t="s">
        <v>42</v>
      </c>
      <c r="U54" s="40" t="s">
        <v>281</v>
      </c>
      <c r="V54" s="40" t="s">
        <v>74</v>
      </c>
      <c r="Z54" s="45">
        <v>43374.0</v>
      </c>
    </row>
    <row r="55">
      <c r="A55" s="32" t="s">
        <v>387</v>
      </c>
      <c r="B55" s="41" t="s">
        <v>388</v>
      </c>
      <c r="C55" s="46">
        <v>11948.4</v>
      </c>
      <c r="D55" s="83" t="str">
        <f>HYPERLINK("https://osu.ppy.sh/u/4982095","Sakke")</f>
        <v>Sakke</v>
      </c>
      <c r="E55" s="41" t="s">
        <v>28</v>
      </c>
      <c r="F55" s="63">
        <v>2500.0</v>
      </c>
      <c r="G55" s="65" t="s">
        <v>29</v>
      </c>
      <c r="H55" s="65" t="s">
        <v>67</v>
      </c>
      <c r="I55" s="96" t="s">
        <v>31</v>
      </c>
      <c r="J55" s="89" t="s">
        <v>32</v>
      </c>
      <c r="K55" s="39">
        <v>500.0</v>
      </c>
      <c r="L55" s="52" t="s">
        <v>237</v>
      </c>
      <c r="M55" s="41" t="s">
        <v>389</v>
      </c>
      <c r="N55" s="41" t="s">
        <v>390</v>
      </c>
      <c r="O55" s="35" t="s">
        <v>391</v>
      </c>
      <c r="P55" s="72">
        <v>103.0</v>
      </c>
      <c r="Q55" s="73">
        <v>136.0</v>
      </c>
      <c r="R55" s="73">
        <v>72.0</v>
      </c>
      <c r="S55" s="73">
        <v>41.0</v>
      </c>
      <c r="T55" s="61" t="s">
        <v>42</v>
      </c>
      <c r="U55" s="41" t="s">
        <v>88</v>
      </c>
      <c r="V55" s="41" t="s">
        <v>74</v>
      </c>
      <c r="Z55" s="45">
        <v>42887.0</v>
      </c>
    </row>
    <row r="56">
      <c r="A56" s="32" t="s">
        <v>392</v>
      </c>
      <c r="B56" s="41" t="s">
        <v>393</v>
      </c>
      <c r="C56" s="46">
        <v>11942.5</v>
      </c>
      <c r="D56" s="62" t="str">
        <f>HYPERLINK("https://osu.ppy.sh/u/3256299","Epiphany")</f>
        <v>Epiphany</v>
      </c>
      <c r="E56" s="35" t="s">
        <v>28</v>
      </c>
      <c r="F56" s="63">
        <v>800.0</v>
      </c>
      <c r="G56" s="66" t="s">
        <v>29</v>
      </c>
      <c r="H56" s="66" t="s">
        <v>394</v>
      </c>
      <c r="I56" s="66" t="s">
        <v>242</v>
      </c>
      <c r="J56" s="70" t="s">
        <v>32</v>
      </c>
      <c r="K56" s="82"/>
      <c r="L56" s="61" t="s">
        <v>395</v>
      </c>
      <c r="M56" s="41" t="s">
        <v>396</v>
      </c>
      <c r="N56" s="35" t="s">
        <v>397</v>
      </c>
      <c r="O56" s="35" t="s">
        <v>52</v>
      </c>
      <c r="P56" s="72">
        <v>85.0</v>
      </c>
      <c r="Q56" s="73">
        <v>124.0</v>
      </c>
      <c r="R56" s="73">
        <v>58.0</v>
      </c>
      <c r="S56" s="73">
        <v>43.0</v>
      </c>
      <c r="T56" s="61" t="s">
        <v>42</v>
      </c>
      <c r="U56" s="75" t="s">
        <v>398</v>
      </c>
      <c r="V56" s="75" t="s">
        <v>74</v>
      </c>
      <c r="Z56" s="45">
        <v>42795.0</v>
      </c>
    </row>
    <row r="57">
      <c r="A57" s="32" t="s">
        <v>399</v>
      </c>
      <c r="B57" s="1" t="s">
        <v>400</v>
      </c>
      <c r="C57" s="33">
        <v>11930.9</v>
      </c>
      <c r="D57" s="34" t="str">
        <f>HYPERLINK("https://osu.ppy.sh/u/8441074","[ BlueArmy ]")</f>
        <v>[ BlueArmy ]</v>
      </c>
      <c r="E57" s="40"/>
      <c r="F57" s="48"/>
      <c r="G57" s="37"/>
      <c r="H57" s="48"/>
      <c r="I57" s="48"/>
      <c r="J57" s="59"/>
      <c r="K57" s="53"/>
      <c r="L57" s="1"/>
      <c r="M57" s="40"/>
      <c r="N57" s="56"/>
      <c r="O57" s="35"/>
      <c r="P57" s="72"/>
      <c r="Q57" s="73"/>
      <c r="R57" s="73"/>
      <c r="S57" s="73"/>
      <c r="T57" s="61"/>
      <c r="U57" s="55"/>
      <c r="V57" s="55"/>
      <c r="Z57" s="45"/>
      <c r="AA57" s="57"/>
    </row>
    <row r="58">
      <c r="A58" s="32" t="s">
        <v>401</v>
      </c>
      <c r="B58" s="97" t="s">
        <v>402</v>
      </c>
      <c r="C58" s="98">
        <v>11906.8</v>
      </c>
      <c r="D58" s="99" t="str">
        <f>HYPERLINK("https://osu.ppy.sh/u/2370889","ImNatalie")</f>
        <v>ImNatalie</v>
      </c>
      <c r="E58" s="35" t="s">
        <v>28</v>
      </c>
      <c r="F58" s="63">
        <v>300.0</v>
      </c>
      <c r="G58" s="66" t="s">
        <v>78</v>
      </c>
      <c r="H58" s="66" t="s">
        <v>403</v>
      </c>
      <c r="I58" s="66" t="s">
        <v>404</v>
      </c>
      <c r="J58" s="70" t="s">
        <v>32</v>
      </c>
      <c r="K58" s="82"/>
      <c r="L58" s="61" t="s">
        <v>405</v>
      </c>
      <c r="M58" s="35" t="s">
        <v>406</v>
      </c>
      <c r="N58" s="41" t="s">
        <v>407</v>
      </c>
      <c r="O58" s="35" t="s">
        <v>408</v>
      </c>
      <c r="P58" s="72">
        <v>105.0</v>
      </c>
      <c r="Q58" s="73">
        <v>130.0</v>
      </c>
      <c r="R58" s="73">
        <v>70.0</v>
      </c>
      <c r="S58" s="73">
        <v>36.0</v>
      </c>
      <c r="T58" s="61" t="s">
        <v>42</v>
      </c>
      <c r="U58" s="35" t="s">
        <v>409</v>
      </c>
      <c r="V58" s="35" t="s">
        <v>74</v>
      </c>
    </row>
    <row r="59">
      <c r="A59" s="32" t="s">
        <v>119</v>
      </c>
      <c r="B59" s="1" t="s">
        <v>410</v>
      </c>
      <c r="C59" s="33">
        <v>11885.8</v>
      </c>
      <c r="D59" s="34" t="str">
        <f>HYPERLINK("https://osu.ppy.sh/u/4227431","xaxreid")</f>
        <v>xaxreid</v>
      </c>
      <c r="E59" s="55" t="s">
        <v>28</v>
      </c>
      <c r="F59" s="58">
        <v>500.0</v>
      </c>
      <c r="G59" s="48" t="s">
        <v>29</v>
      </c>
      <c r="H59" s="48" t="s">
        <v>67</v>
      </c>
      <c r="I59" s="48" t="s">
        <v>106</v>
      </c>
      <c r="J59" s="59" t="s">
        <v>32</v>
      </c>
      <c r="K59" s="60"/>
      <c r="L59" s="55" t="s">
        <v>411</v>
      </c>
      <c r="M59" s="1" t="s">
        <v>412</v>
      </c>
      <c r="P59" s="91"/>
      <c r="Q59" s="92"/>
      <c r="R59" s="93"/>
      <c r="S59" s="93"/>
      <c r="T59" s="53"/>
      <c r="U59" s="55" t="s">
        <v>62</v>
      </c>
      <c r="V59" s="1" t="s">
        <v>63</v>
      </c>
    </row>
    <row r="60">
      <c r="A60" s="32" t="s">
        <v>413</v>
      </c>
      <c r="B60" s="1" t="s">
        <v>414</v>
      </c>
      <c r="C60" s="33">
        <v>11884.2</v>
      </c>
      <c r="D60" s="34" t="str">
        <f>HYPERLINK("https://osu.ppy.sh/u/10463344","AtriaKanafilee")</f>
        <v>AtriaKanafilee</v>
      </c>
      <c r="E60" s="52"/>
      <c r="F60" s="100"/>
      <c r="G60" s="101"/>
      <c r="H60" s="101"/>
      <c r="I60" s="101"/>
      <c r="J60" s="49"/>
      <c r="K60" s="82"/>
      <c r="L60" s="69"/>
      <c r="M60" s="69"/>
      <c r="N60" s="69"/>
      <c r="O60" s="69"/>
      <c r="P60" s="79"/>
      <c r="Q60" s="80"/>
      <c r="R60" s="80"/>
      <c r="S60" s="80"/>
      <c r="T60" s="69"/>
      <c r="U60" s="69"/>
      <c r="V60" s="69"/>
    </row>
    <row r="61">
      <c r="A61" s="32" t="s">
        <v>415</v>
      </c>
      <c r="B61" s="1" t="s">
        <v>416</v>
      </c>
      <c r="C61" s="33">
        <v>11849.2</v>
      </c>
      <c r="D61" s="34" t="str">
        <f>HYPERLINK("https://osu.ppy.sh/u/4248481","Meniwa")</f>
        <v>Meniwa</v>
      </c>
      <c r="E61" s="52" t="s">
        <v>28</v>
      </c>
      <c r="F61" s="58" t="s">
        <v>77</v>
      </c>
      <c r="G61" s="37" t="s">
        <v>29</v>
      </c>
      <c r="H61" s="48" t="s">
        <v>67</v>
      </c>
      <c r="I61" s="37" t="s">
        <v>31</v>
      </c>
      <c r="J61" s="38" t="s">
        <v>32</v>
      </c>
      <c r="K61" s="71">
        <v>1000.0</v>
      </c>
      <c r="L61" s="1" t="s">
        <v>417</v>
      </c>
      <c r="M61" s="55" t="s">
        <v>288</v>
      </c>
      <c r="N61" s="55" t="s">
        <v>61</v>
      </c>
      <c r="O61" s="41" t="s">
        <v>109</v>
      </c>
      <c r="P61" s="42">
        <v>85.0</v>
      </c>
      <c r="Q61" s="43">
        <v>117.0</v>
      </c>
      <c r="R61" s="43">
        <v>62.0</v>
      </c>
      <c r="S61" s="43">
        <v>38.0</v>
      </c>
      <c r="T61" s="40" t="s">
        <v>42</v>
      </c>
      <c r="U61" s="55" t="s">
        <v>418</v>
      </c>
      <c r="V61" s="55" t="s">
        <v>74</v>
      </c>
      <c r="Z61" s="45">
        <v>43983.0</v>
      </c>
      <c r="AA61" s="57"/>
    </row>
    <row r="62">
      <c r="A62" s="32" t="s">
        <v>419</v>
      </c>
      <c r="B62" s="41" t="s">
        <v>420</v>
      </c>
      <c r="C62" s="46">
        <v>11832.7</v>
      </c>
      <c r="D62" s="83" t="str">
        <f>HYPERLINK("https://osu.ppy.sh/u/2770796","w1sp")</f>
        <v>w1sp</v>
      </c>
      <c r="E62" s="52" t="s">
        <v>28</v>
      </c>
      <c r="F62" s="63">
        <v>1100.0</v>
      </c>
      <c r="G62" s="65" t="s">
        <v>29</v>
      </c>
      <c r="H62" s="65" t="s">
        <v>67</v>
      </c>
      <c r="I62" s="65" t="s">
        <v>421</v>
      </c>
      <c r="J62" s="89" t="s">
        <v>192</v>
      </c>
      <c r="K62" s="71">
        <v>1000.0</v>
      </c>
      <c r="L62" s="52" t="s">
        <v>230</v>
      </c>
      <c r="M62" s="41" t="s">
        <v>100</v>
      </c>
      <c r="N62" s="41" t="s">
        <v>116</v>
      </c>
      <c r="O62" s="35" t="s">
        <v>101</v>
      </c>
      <c r="P62" s="72">
        <v>105.0</v>
      </c>
      <c r="Q62" s="73">
        <v>127.0</v>
      </c>
      <c r="R62" s="73">
        <v>70.0</v>
      </c>
      <c r="S62" s="73">
        <v>44.0</v>
      </c>
      <c r="T62" s="61" t="s">
        <v>42</v>
      </c>
      <c r="U62" s="68" t="s">
        <v>422</v>
      </c>
      <c r="V62" s="68" t="s">
        <v>89</v>
      </c>
      <c r="Z62" s="45">
        <v>42826.0</v>
      </c>
    </row>
    <row r="63">
      <c r="A63" s="32" t="s">
        <v>127</v>
      </c>
      <c r="B63" s="102" t="s">
        <v>423</v>
      </c>
      <c r="C63" s="103">
        <v>11679.8</v>
      </c>
      <c r="D63" s="104" t="str">
        <f>HYPERLINK("https://osu.ppy.sh/u/3221564","Ceptin")</f>
        <v>Ceptin</v>
      </c>
      <c r="E63" s="61" t="s">
        <v>28</v>
      </c>
      <c r="F63" s="63">
        <v>800.0</v>
      </c>
      <c r="G63" s="66" t="s">
        <v>78</v>
      </c>
      <c r="H63" s="66" t="s">
        <v>424</v>
      </c>
      <c r="I63" s="66" t="s">
        <v>31</v>
      </c>
      <c r="J63" s="70" t="s">
        <v>32</v>
      </c>
      <c r="K63" s="82"/>
      <c r="L63" s="61" t="s">
        <v>425</v>
      </c>
      <c r="M63" s="35" t="s">
        <v>426</v>
      </c>
      <c r="N63" s="35" t="s">
        <v>61</v>
      </c>
      <c r="O63" s="35" t="s">
        <v>278</v>
      </c>
      <c r="P63" s="42">
        <v>90.0</v>
      </c>
      <c r="Q63" s="43">
        <v>120.0</v>
      </c>
      <c r="R63" s="43">
        <v>72.0</v>
      </c>
      <c r="S63" s="43">
        <v>39.0</v>
      </c>
      <c r="T63" s="69"/>
      <c r="U63" s="35" t="s">
        <v>117</v>
      </c>
      <c r="V63" s="35" t="s">
        <v>74</v>
      </c>
      <c r="Z63" s="45">
        <v>42767.0</v>
      </c>
    </row>
    <row r="64">
      <c r="A64" s="32" t="s">
        <v>427</v>
      </c>
      <c r="B64" s="41" t="s">
        <v>428</v>
      </c>
      <c r="C64" s="46">
        <v>11642.0</v>
      </c>
      <c r="D64" s="62" t="str">
        <f>HYPERLINK("https://osu.ppy.sh/u/2110845","Rlsc")</f>
        <v>Rlsc</v>
      </c>
      <c r="E64" s="35" t="s">
        <v>320</v>
      </c>
      <c r="F64" s="63">
        <v>800.0</v>
      </c>
      <c r="G64" s="64" t="s">
        <v>29</v>
      </c>
      <c r="H64" s="64" t="s">
        <v>67</v>
      </c>
      <c r="I64" s="64" t="s">
        <v>421</v>
      </c>
      <c r="J64" s="67" t="s">
        <v>192</v>
      </c>
      <c r="K64" s="82"/>
      <c r="L64" s="44" t="s">
        <v>107</v>
      </c>
      <c r="M64" s="75" t="s">
        <v>429</v>
      </c>
      <c r="N64" s="75" t="s">
        <v>430</v>
      </c>
      <c r="O64" s="69"/>
      <c r="P64" s="79"/>
      <c r="Q64" s="80"/>
      <c r="R64" s="80"/>
      <c r="S64" s="80"/>
      <c r="T64" s="57"/>
      <c r="U64" s="75" t="s">
        <v>180</v>
      </c>
      <c r="V64" s="75" t="s">
        <v>89</v>
      </c>
    </row>
    <row r="65">
      <c r="A65" s="32" t="s">
        <v>431</v>
      </c>
      <c r="B65" s="41" t="s">
        <v>432</v>
      </c>
      <c r="C65" s="46">
        <v>11597.8</v>
      </c>
      <c r="D65" s="105" t="str">
        <f>HYPERLINK("https://osu.ppy.sh/u/1545563","Anze")</f>
        <v>Anze</v>
      </c>
      <c r="E65" s="61" t="s">
        <v>28</v>
      </c>
      <c r="F65" s="63">
        <v>1000.0</v>
      </c>
      <c r="G65" s="66" t="s">
        <v>29</v>
      </c>
      <c r="H65" s="66" t="s">
        <v>67</v>
      </c>
      <c r="I65" s="66" t="s">
        <v>421</v>
      </c>
      <c r="J65" s="70" t="s">
        <v>32</v>
      </c>
      <c r="K65" s="82"/>
      <c r="L65" s="61" t="s">
        <v>272</v>
      </c>
      <c r="M65" s="35" t="s">
        <v>433</v>
      </c>
      <c r="N65" s="106" t="s">
        <v>434</v>
      </c>
      <c r="O65" s="35" t="s">
        <v>435</v>
      </c>
      <c r="P65" s="79"/>
      <c r="Q65" s="80"/>
      <c r="R65" s="80"/>
      <c r="S65" s="80"/>
      <c r="T65" s="57"/>
      <c r="U65" s="75" t="s">
        <v>436</v>
      </c>
      <c r="V65" s="75" t="s">
        <v>89</v>
      </c>
      <c r="Z65" s="45">
        <v>42644.0</v>
      </c>
    </row>
    <row r="66">
      <c r="A66" s="32" t="s">
        <v>437</v>
      </c>
      <c r="B66" s="1" t="s">
        <v>438</v>
      </c>
      <c r="C66" s="33">
        <v>11588.8</v>
      </c>
      <c r="D66" s="34" t="str">
        <f>HYPERLINK("https://osu.ppy.sh/u/5014197","Dizick")</f>
        <v>Dizick</v>
      </c>
      <c r="E66" s="55" t="s">
        <v>28</v>
      </c>
      <c r="F66" s="58">
        <v>1000.0</v>
      </c>
      <c r="G66" s="48" t="s">
        <v>29</v>
      </c>
      <c r="H66" s="48" t="s">
        <v>67</v>
      </c>
      <c r="I66" s="48" t="s">
        <v>98</v>
      </c>
      <c r="J66" s="59" t="s">
        <v>192</v>
      </c>
      <c r="K66" s="60"/>
      <c r="L66" s="55" t="s">
        <v>257</v>
      </c>
      <c r="M66" s="1" t="s">
        <v>439</v>
      </c>
      <c r="N66" s="1" t="s">
        <v>440</v>
      </c>
      <c r="P66" s="91"/>
      <c r="Q66" s="92"/>
      <c r="R66" s="93"/>
      <c r="S66" s="93"/>
      <c r="T66" s="53"/>
      <c r="U66" s="55" t="s">
        <v>441</v>
      </c>
      <c r="V66" s="1" t="s">
        <v>63</v>
      </c>
      <c r="Z66" s="45">
        <v>42948.0</v>
      </c>
    </row>
    <row r="67">
      <c r="A67" s="32" t="s">
        <v>442</v>
      </c>
      <c r="B67" s="1" t="s">
        <v>443</v>
      </c>
      <c r="C67" s="33">
        <v>11573.1</v>
      </c>
      <c r="D67" s="34" t="str">
        <f>HYPERLINK("https://osu.ppy.sh/u/11919665","httd")</f>
        <v>httd</v>
      </c>
      <c r="E67" s="1" t="s">
        <v>28</v>
      </c>
      <c r="F67" s="48" t="s">
        <v>444</v>
      </c>
      <c r="G67" s="48" t="s">
        <v>29</v>
      </c>
      <c r="H67" s="48" t="s">
        <v>304</v>
      </c>
      <c r="I67" s="48" t="s">
        <v>404</v>
      </c>
      <c r="J67" s="54"/>
      <c r="K67" s="48" t="s">
        <v>33</v>
      </c>
      <c r="L67" s="1" t="s">
        <v>222</v>
      </c>
      <c r="M67" s="55" t="s">
        <v>108</v>
      </c>
      <c r="N67" s="1" t="s">
        <v>445</v>
      </c>
      <c r="O67" s="1" t="s">
        <v>109</v>
      </c>
      <c r="P67" s="85" t="s">
        <v>110</v>
      </c>
      <c r="Q67" s="86" t="s">
        <v>39</v>
      </c>
      <c r="R67" s="87" t="s">
        <v>72</v>
      </c>
      <c r="S67" s="87" t="s">
        <v>41</v>
      </c>
      <c r="T67" s="48" t="s">
        <v>42</v>
      </c>
      <c r="U67" s="55" t="s">
        <v>446</v>
      </c>
      <c r="V67" s="55" t="s">
        <v>447</v>
      </c>
      <c r="Z67" s="45">
        <v>44256.0</v>
      </c>
      <c r="AA67" s="57"/>
    </row>
    <row r="68">
      <c r="A68" s="32" t="s">
        <v>448</v>
      </c>
      <c r="B68" s="1" t="s">
        <v>449</v>
      </c>
      <c r="C68" s="33">
        <v>11557.5</v>
      </c>
      <c r="D68" s="34" t="str">
        <f>HYPERLINK("https://osu.ppy.sh/u/11091594","Thatnoobguy")</f>
        <v>Thatnoobguy</v>
      </c>
      <c r="E68" s="61" t="s">
        <v>28</v>
      </c>
      <c r="F68" s="63">
        <v>800.0</v>
      </c>
      <c r="G68" s="66" t="s">
        <v>29</v>
      </c>
      <c r="H68" s="48" t="s">
        <v>450</v>
      </c>
      <c r="I68" s="37" t="s">
        <v>106</v>
      </c>
      <c r="J68" s="70" t="s">
        <v>32</v>
      </c>
      <c r="K68" s="71">
        <v>1000.0</v>
      </c>
      <c r="L68" s="1" t="s">
        <v>305</v>
      </c>
      <c r="M68" s="41" t="s">
        <v>199</v>
      </c>
      <c r="N68" s="55" t="s">
        <v>451</v>
      </c>
      <c r="O68" s="35" t="s">
        <v>201</v>
      </c>
      <c r="P68" s="72">
        <v>103.0</v>
      </c>
      <c r="Q68" s="73">
        <v>136.0</v>
      </c>
      <c r="R68" s="73">
        <v>72.0</v>
      </c>
      <c r="S68" s="73">
        <v>41.0</v>
      </c>
      <c r="T68" s="61" t="s">
        <v>42</v>
      </c>
      <c r="U68" s="55" t="s">
        <v>244</v>
      </c>
      <c r="V68" s="55" t="s">
        <v>44</v>
      </c>
      <c r="Z68" s="45">
        <v>44013.0</v>
      </c>
      <c r="AA68" s="57"/>
    </row>
    <row r="69">
      <c r="A69" s="32" t="s">
        <v>452</v>
      </c>
      <c r="B69" s="41" t="s">
        <v>453</v>
      </c>
      <c r="C69" s="46">
        <v>11556.3</v>
      </c>
      <c r="D69" s="62" t="str">
        <f>HYPERLINK("https://osu.ppy.sh/u/4497691","Fangzy")</f>
        <v>Fangzy</v>
      </c>
      <c r="E69" s="35" t="s">
        <v>28</v>
      </c>
      <c r="F69" s="63">
        <v>1300.0</v>
      </c>
      <c r="G69" s="66" t="s">
        <v>29</v>
      </c>
      <c r="H69" s="66" t="s">
        <v>67</v>
      </c>
      <c r="I69" s="66" t="s">
        <v>31</v>
      </c>
      <c r="J69" s="70" t="s">
        <v>32</v>
      </c>
      <c r="K69" s="71">
        <v>1000.0</v>
      </c>
      <c r="L69" s="52" t="s">
        <v>99</v>
      </c>
      <c r="M69" s="41" t="s">
        <v>454</v>
      </c>
      <c r="N69" s="35" t="s">
        <v>92</v>
      </c>
      <c r="O69" s="40" t="s">
        <v>455</v>
      </c>
      <c r="P69" s="42" t="s">
        <v>456</v>
      </c>
      <c r="Q69" s="43" t="s">
        <v>457</v>
      </c>
      <c r="R69" s="43" t="s">
        <v>458</v>
      </c>
      <c r="S69" s="43" t="s">
        <v>251</v>
      </c>
      <c r="T69" s="35" t="s">
        <v>42</v>
      </c>
      <c r="U69" s="35" t="s">
        <v>117</v>
      </c>
      <c r="V69" s="35" t="s">
        <v>74</v>
      </c>
      <c r="Z69" s="45">
        <v>43556.0</v>
      </c>
    </row>
    <row r="70">
      <c r="A70" s="32" t="s">
        <v>459</v>
      </c>
      <c r="B70" s="1" t="s">
        <v>460</v>
      </c>
      <c r="C70" s="33">
        <v>11503.7</v>
      </c>
      <c r="D70" s="34" t="str">
        <f>HYPERLINK("https://osu.ppy.sh/u/10760701","Hexikey")</f>
        <v>Hexikey</v>
      </c>
      <c r="E70" s="1" t="s">
        <v>28</v>
      </c>
      <c r="F70" s="48" t="s">
        <v>66</v>
      </c>
      <c r="G70" s="48" t="s">
        <v>29</v>
      </c>
      <c r="H70" s="48" t="s">
        <v>461</v>
      </c>
      <c r="I70" s="37" t="s">
        <v>31</v>
      </c>
      <c r="J70" s="59" t="s">
        <v>32</v>
      </c>
      <c r="K70" s="74" t="s">
        <v>33</v>
      </c>
      <c r="L70" s="1" t="s">
        <v>462</v>
      </c>
      <c r="M70" s="1" t="s">
        <v>380</v>
      </c>
      <c r="N70" s="1" t="s">
        <v>445</v>
      </c>
      <c r="O70" s="1" t="s">
        <v>141</v>
      </c>
      <c r="P70" s="42">
        <v>126.0</v>
      </c>
      <c r="Q70" s="43">
        <v>128.0</v>
      </c>
      <c r="R70" s="43">
        <v>76.0</v>
      </c>
      <c r="S70" s="43">
        <v>42.0</v>
      </c>
      <c r="T70" s="61" t="s">
        <v>42</v>
      </c>
      <c r="U70" s="1" t="s">
        <v>463</v>
      </c>
      <c r="V70" s="1" t="s">
        <v>63</v>
      </c>
      <c r="Z70" s="45">
        <v>43922.0</v>
      </c>
      <c r="AA70" s="57"/>
    </row>
    <row r="71">
      <c r="A71" s="32" t="s">
        <v>464</v>
      </c>
      <c r="B71" s="41" t="s">
        <v>465</v>
      </c>
      <c r="C71" s="46">
        <v>11502.1</v>
      </c>
      <c r="D71" s="83" t="str">
        <f>HYPERLINK("https://osu.ppy.sh/u/3578303","Shinkei")</f>
        <v>Shinkei</v>
      </c>
      <c r="E71" s="52" t="s">
        <v>28</v>
      </c>
      <c r="F71" s="63" t="s">
        <v>105</v>
      </c>
      <c r="G71" s="65" t="s">
        <v>29</v>
      </c>
      <c r="H71" s="65" t="s">
        <v>67</v>
      </c>
      <c r="I71" s="37" t="s">
        <v>31</v>
      </c>
      <c r="J71" s="89" t="s">
        <v>32</v>
      </c>
      <c r="K71" s="71">
        <v>1000.0</v>
      </c>
      <c r="L71" s="44" t="s">
        <v>222</v>
      </c>
      <c r="M71" s="41" t="s">
        <v>139</v>
      </c>
      <c r="N71" s="41" t="s">
        <v>466</v>
      </c>
      <c r="O71" s="40" t="s">
        <v>141</v>
      </c>
      <c r="P71" s="42" t="s">
        <v>71</v>
      </c>
      <c r="Q71" s="43" t="s">
        <v>39</v>
      </c>
      <c r="R71" s="43" t="s">
        <v>72</v>
      </c>
      <c r="S71" s="43" t="s">
        <v>41</v>
      </c>
      <c r="T71" s="40" t="s">
        <v>42</v>
      </c>
      <c r="U71" s="40" t="s">
        <v>209</v>
      </c>
      <c r="V71" s="41" t="s">
        <v>467</v>
      </c>
      <c r="Z71" s="45">
        <v>43952.0</v>
      </c>
    </row>
    <row r="72">
      <c r="A72" s="32" t="s">
        <v>468</v>
      </c>
      <c r="B72" s="41" t="s">
        <v>469</v>
      </c>
      <c r="C72" s="46">
        <v>11468.7</v>
      </c>
      <c r="D72" s="47" t="str">
        <f>HYPERLINK("https://osu.ppy.sh/u/2922853","suffix")</f>
        <v>suffix</v>
      </c>
      <c r="E72" s="52" t="s">
        <v>28</v>
      </c>
      <c r="F72" s="36" t="s">
        <v>470</v>
      </c>
      <c r="G72" s="37" t="s">
        <v>29</v>
      </c>
      <c r="H72" s="37" t="s">
        <v>471</v>
      </c>
      <c r="I72" s="37" t="s">
        <v>31</v>
      </c>
      <c r="J72" s="38" t="s">
        <v>32</v>
      </c>
      <c r="K72" s="82"/>
      <c r="L72" s="40" t="s">
        <v>472</v>
      </c>
      <c r="M72" s="40" t="s">
        <v>473</v>
      </c>
      <c r="N72" s="40" t="s">
        <v>474</v>
      </c>
      <c r="O72" s="69"/>
      <c r="P72" s="79"/>
      <c r="Q72" s="80"/>
      <c r="R72" s="80"/>
      <c r="S72" s="80"/>
      <c r="T72" s="69"/>
      <c r="U72" s="69"/>
      <c r="V72" s="69"/>
    </row>
    <row r="73">
      <c r="A73" s="32" t="s">
        <v>475</v>
      </c>
      <c r="B73" s="1" t="s">
        <v>476</v>
      </c>
      <c r="C73" s="33">
        <v>11453.3</v>
      </c>
      <c r="D73" s="34" t="str">
        <f>HYPERLINK("https://osu.ppy.sh/u/5116930","ShotgunApe")</f>
        <v>ShotgunApe</v>
      </c>
      <c r="E73" s="55" t="s">
        <v>28</v>
      </c>
      <c r="F73" s="58">
        <v>600.0</v>
      </c>
      <c r="G73" s="48" t="s">
        <v>29</v>
      </c>
      <c r="H73" s="48" t="s">
        <v>67</v>
      </c>
      <c r="I73" s="48" t="s">
        <v>106</v>
      </c>
      <c r="J73" s="59" t="s">
        <v>32</v>
      </c>
      <c r="K73" s="74">
        <v>1000.0</v>
      </c>
      <c r="L73" s="55" t="s">
        <v>477</v>
      </c>
      <c r="M73" s="1" t="s">
        <v>238</v>
      </c>
      <c r="N73" s="1" t="s">
        <v>478</v>
      </c>
      <c r="O73" s="35" t="s">
        <v>70</v>
      </c>
      <c r="P73" s="72">
        <v>126.0</v>
      </c>
      <c r="Q73" s="73">
        <v>128.0</v>
      </c>
      <c r="R73" s="73">
        <v>76.0</v>
      </c>
      <c r="S73" s="73">
        <v>42.0</v>
      </c>
      <c r="T73" s="61" t="s">
        <v>479</v>
      </c>
      <c r="U73" s="107" t="s">
        <v>480</v>
      </c>
      <c r="V73" s="1" t="s">
        <v>74</v>
      </c>
    </row>
    <row r="74">
      <c r="A74" s="32" t="s">
        <v>481</v>
      </c>
      <c r="B74" s="41" t="s">
        <v>482</v>
      </c>
      <c r="C74" s="46">
        <v>11440.9</v>
      </c>
      <c r="D74" s="62" t="str">
        <f>HYPERLINK("https://osu.ppy.sh/u/2367825","Toushi")</f>
        <v>Toushi</v>
      </c>
      <c r="E74" s="61" t="s">
        <v>28</v>
      </c>
      <c r="F74" s="63">
        <v>800.0</v>
      </c>
      <c r="G74" s="66" t="s">
        <v>29</v>
      </c>
      <c r="H74" s="66" t="s">
        <v>483</v>
      </c>
      <c r="I74" s="66" t="s">
        <v>311</v>
      </c>
      <c r="J74" s="70" t="s">
        <v>32</v>
      </c>
      <c r="K74" s="71">
        <v>1000.0</v>
      </c>
      <c r="L74" s="61" t="s">
        <v>484</v>
      </c>
      <c r="M74" s="35" t="s">
        <v>485</v>
      </c>
      <c r="N74" s="41" t="s">
        <v>486</v>
      </c>
      <c r="O74" s="35" t="s">
        <v>52</v>
      </c>
      <c r="P74" s="72">
        <v>130.0</v>
      </c>
      <c r="Q74" s="73">
        <v>133.0</v>
      </c>
      <c r="R74" s="73">
        <v>70.0</v>
      </c>
      <c r="S74" s="73">
        <v>46.0</v>
      </c>
      <c r="T74" s="44" t="s">
        <v>218</v>
      </c>
      <c r="U74" s="41" t="s">
        <v>102</v>
      </c>
      <c r="V74" s="75" t="s">
        <v>94</v>
      </c>
      <c r="Z74" s="45">
        <v>43132.0</v>
      </c>
    </row>
    <row r="75">
      <c r="A75" s="32" t="s">
        <v>487</v>
      </c>
      <c r="B75" s="1" t="s">
        <v>488</v>
      </c>
      <c r="C75" s="33">
        <v>11437.9</v>
      </c>
      <c r="D75" s="34" t="str">
        <f>HYPERLINK("https://osu.ppy.sh/u/7613309","MuffinSlayer14")</f>
        <v>MuffinSlayer14</v>
      </c>
      <c r="E75" s="35" t="s">
        <v>28</v>
      </c>
      <c r="F75" s="58" t="s">
        <v>77</v>
      </c>
      <c r="G75" s="66" t="s">
        <v>29</v>
      </c>
      <c r="H75" s="48" t="s">
        <v>67</v>
      </c>
      <c r="I75" s="37" t="s">
        <v>31</v>
      </c>
      <c r="J75" s="70" t="s">
        <v>32</v>
      </c>
      <c r="K75" s="39" t="s">
        <v>33</v>
      </c>
      <c r="L75" s="1" t="s">
        <v>230</v>
      </c>
      <c r="M75" s="55" t="s">
        <v>69</v>
      </c>
      <c r="N75" s="55" t="s">
        <v>489</v>
      </c>
      <c r="O75" s="1" t="s">
        <v>70</v>
      </c>
      <c r="P75" s="42" t="s">
        <v>71</v>
      </c>
      <c r="Q75" s="43" t="s">
        <v>39</v>
      </c>
      <c r="R75" s="43" t="s">
        <v>72</v>
      </c>
      <c r="S75" s="43" t="s">
        <v>41</v>
      </c>
      <c r="T75" s="61" t="s">
        <v>42</v>
      </c>
      <c r="U75" s="55" t="s">
        <v>490</v>
      </c>
      <c r="V75" s="75" t="s">
        <v>491</v>
      </c>
      <c r="Z75" s="45">
        <v>44228.0</v>
      </c>
      <c r="AA75" s="57"/>
    </row>
    <row r="76">
      <c r="A76" s="32" t="s">
        <v>492</v>
      </c>
      <c r="B76" s="1" t="s">
        <v>493</v>
      </c>
      <c r="C76" s="33">
        <v>11432.3</v>
      </c>
      <c r="D76" s="34" t="str">
        <f>HYPERLINK("https://osu.ppy.sh/u/7785655","HolyJesus")</f>
        <v>HolyJesus</v>
      </c>
      <c r="E76" s="1" t="s">
        <v>28</v>
      </c>
      <c r="F76" s="58" t="s">
        <v>105</v>
      </c>
      <c r="G76" s="48" t="s">
        <v>29</v>
      </c>
      <c r="H76" s="48" t="s">
        <v>67</v>
      </c>
      <c r="I76" s="48" t="s">
        <v>98</v>
      </c>
      <c r="J76" s="59" t="s">
        <v>32</v>
      </c>
      <c r="K76" s="74" t="s">
        <v>33</v>
      </c>
      <c r="L76" s="1" t="s">
        <v>129</v>
      </c>
      <c r="M76" s="1" t="s">
        <v>494</v>
      </c>
      <c r="N76" s="1" t="s">
        <v>495</v>
      </c>
      <c r="O76" s="1" t="s">
        <v>496</v>
      </c>
      <c r="P76" s="48" t="s">
        <v>497</v>
      </c>
      <c r="Q76" s="48" t="s">
        <v>457</v>
      </c>
      <c r="R76" s="48" t="s">
        <v>498</v>
      </c>
      <c r="S76" s="48" t="s">
        <v>41</v>
      </c>
      <c r="T76" s="61" t="s">
        <v>42</v>
      </c>
      <c r="U76" s="1" t="s">
        <v>499</v>
      </c>
      <c r="V76" s="1" t="s">
        <v>74</v>
      </c>
      <c r="Z76" s="45">
        <v>43040.0</v>
      </c>
    </row>
    <row r="77">
      <c r="A77" s="32" t="s">
        <v>500</v>
      </c>
      <c r="B77" s="1" t="s">
        <v>501</v>
      </c>
      <c r="C77" s="33">
        <v>11415.2</v>
      </c>
      <c r="D77" s="34" t="str">
        <f>HYPERLINK("https://osu.ppy.sh/u/7658011","JAPRON")</f>
        <v>JAPRON</v>
      </c>
      <c r="E77" s="61" t="s">
        <v>28</v>
      </c>
      <c r="F77" s="48" t="s">
        <v>105</v>
      </c>
      <c r="G77" s="48" t="s">
        <v>29</v>
      </c>
      <c r="H77" s="48" t="s">
        <v>67</v>
      </c>
      <c r="I77" s="48" t="s">
        <v>31</v>
      </c>
      <c r="J77" s="59" t="s">
        <v>32</v>
      </c>
      <c r="L77" s="44" t="s">
        <v>222</v>
      </c>
      <c r="M77" s="1" t="s">
        <v>214</v>
      </c>
      <c r="N77" s="1" t="s">
        <v>502</v>
      </c>
      <c r="O77" s="40" t="s">
        <v>215</v>
      </c>
      <c r="P77" s="42" t="s">
        <v>216</v>
      </c>
      <c r="Q77" s="43" t="s">
        <v>175</v>
      </c>
      <c r="R77" s="43" t="s">
        <v>72</v>
      </c>
      <c r="S77" s="43" t="s">
        <v>217</v>
      </c>
      <c r="T77" s="44" t="s">
        <v>218</v>
      </c>
      <c r="U77" s="1" t="s">
        <v>503</v>
      </c>
      <c r="V77" s="1" t="s">
        <v>504</v>
      </c>
      <c r="Z77" s="45">
        <v>43862.0</v>
      </c>
    </row>
    <row r="78">
      <c r="A78" s="32" t="s">
        <v>505</v>
      </c>
      <c r="B78" s="1" t="s">
        <v>506</v>
      </c>
      <c r="C78" s="33">
        <v>11413.6</v>
      </c>
      <c r="D78" s="34" t="str">
        <f>HYPERLINK("https://osu.ppy.sh/u/9405745","scylla")</f>
        <v>scylla</v>
      </c>
      <c r="E78" s="41" t="s">
        <v>28</v>
      </c>
      <c r="F78" s="58"/>
      <c r="G78" s="53"/>
      <c r="H78" s="53"/>
      <c r="I78" s="53"/>
      <c r="J78" s="54"/>
      <c r="K78" s="60"/>
      <c r="P78" s="91"/>
      <c r="Q78" s="92"/>
      <c r="R78" s="92"/>
      <c r="S78" s="92"/>
      <c r="Z78" s="45"/>
    </row>
    <row r="79">
      <c r="A79" s="32" t="s">
        <v>507</v>
      </c>
      <c r="B79" s="41" t="s">
        <v>508</v>
      </c>
      <c r="C79" s="46">
        <v>11290.2</v>
      </c>
      <c r="D79" s="83" t="str">
        <f>HYPERLINK("https://osu.ppy.sh/u/464203","SilverAkcel")</f>
        <v>SilverAkcel</v>
      </c>
      <c r="E79" s="52" t="s">
        <v>28</v>
      </c>
      <c r="F79" s="63">
        <v>600.0</v>
      </c>
      <c r="G79" s="65" t="s">
        <v>29</v>
      </c>
      <c r="H79" s="65" t="s">
        <v>67</v>
      </c>
      <c r="I79" s="65" t="s">
        <v>509</v>
      </c>
      <c r="J79" s="89" t="s">
        <v>192</v>
      </c>
      <c r="K79" s="71">
        <v>1000.0</v>
      </c>
      <c r="L79" s="52" t="s">
        <v>510</v>
      </c>
      <c r="M79" s="41" t="s">
        <v>485</v>
      </c>
      <c r="N79" s="41" t="s">
        <v>92</v>
      </c>
      <c r="O79" s="35" t="s">
        <v>52</v>
      </c>
      <c r="P79" s="72">
        <v>130.0</v>
      </c>
      <c r="Q79" s="73">
        <v>133.0</v>
      </c>
      <c r="R79" s="73">
        <v>70.0</v>
      </c>
      <c r="S79" s="73">
        <v>46.0</v>
      </c>
      <c r="T79" s="61" t="s">
        <v>218</v>
      </c>
      <c r="U79" s="41" t="s">
        <v>511</v>
      </c>
      <c r="V79" s="41" t="s">
        <v>74</v>
      </c>
      <c r="Z79" s="45">
        <v>42856.0</v>
      </c>
    </row>
    <row r="80">
      <c r="A80" s="32" t="s">
        <v>512</v>
      </c>
      <c r="B80" s="41" t="s">
        <v>513</v>
      </c>
      <c r="C80" s="46">
        <v>11248.4</v>
      </c>
      <c r="D80" s="62" t="str">
        <f>HYPERLINK("https://osu.ppy.sh/u/2051389","FunOrange")</f>
        <v>FunOrange</v>
      </c>
      <c r="E80" s="61" t="s">
        <v>28</v>
      </c>
      <c r="F80" s="63">
        <v>800.0</v>
      </c>
      <c r="G80" s="66" t="s">
        <v>29</v>
      </c>
      <c r="H80" s="65" t="s">
        <v>514</v>
      </c>
      <c r="I80" s="65" t="s">
        <v>515</v>
      </c>
      <c r="J80" s="70" t="s">
        <v>32</v>
      </c>
      <c r="K80" s="71">
        <v>1000.0</v>
      </c>
      <c r="L80" s="52" t="s">
        <v>477</v>
      </c>
      <c r="M80" s="41" t="s">
        <v>147</v>
      </c>
      <c r="N80" s="41" t="s">
        <v>516</v>
      </c>
      <c r="O80" s="1" t="s">
        <v>149</v>
      </c>
      <c r="P80" s="42">
        <v>61.0</v>
      </c>
      <c r="Q80" s="43">
        <v>118.0</v>
      </c>
      <c r="R80" s="43">
        <v>54.0</v>
      </c>
      <c r="S80" s="43">
        <v>38.0</v>
      </c>
      <c r="T80" s="52" t="s">
        <v>153</v>
      </c>
      <c r="U80" s="41" t="s">
        <v>517</v>
      </c>
      <c r="V80" s="41" t="s">
        <v>518</v>
      </c>
      <c r="Z80" s="45">
        <v>43282.0</v>
      </c>
    </row>
    <row r="81">
      <c r="A81" s="32" t="s">
        <v>519</v>
      </c>
      <c r="B81" s="1" t="s">
        <v>520</v>
      </c>
      <c r="C81" s="33">
        <v>11170.9</v>
      </c>
      <c r="D81" s="34" t="str">
        <f>HYPERLINK("https://osu.ppy.sh/u/7104673","Zac Efron")</f>
        <v>Zac Efron</v>
      </c>
      <c r="E81" s="61"/>
      <c r="F81" s="58"/>
      <c r="G81" s="48"/>
      <c r="H81" s="48"/>
      <c r="I81" s="48"/>
      <c r="J81" s="59"/>
      <c r="K81" s="60"/>
      <c r="L81" s="1"/>
      <c r="M81" s="1"/>
      <c r="N81" s="1"/>
      <c r="O81" s="57"/>
      <c r="P81" s="79"/>
      <c r="Q81" s="80"/>
      <c r="R81" s="80"/>
      <c r="S81" s="80"/>
      <c r="T81" s="57"/>
      <c r="U81" s="1"/>
      <c r="V81" s="1"/>
      <c r="Z81" s="45"/>
    </row>
    <row r="82">
      <c r="A82" s="32" t="s">
        <v>136</v>
      </c>
      <c r="B82" s="41" t="s">
        <v>521</v>
      </c>
      <c r="C82" s="46">
        <v>11151.5</v>
      </c>
      <c r="D82" s="62" t="str">
        <f>HYPERLINK("https://osu.ppy.sh/u/4317480","Malolat")</f>
        <v>Malolat</v>
      </c>
      <c r="E82" s="61" t="s">
        <v>28</v>
      </c>
      <c r="F82" s="63">
        <v>800.0</v>
      </c>
      <c r="G82" s="66" t="s">
        <v>29</v>
      </c>
      <c r="H82" s="66" t="s">
        <v>67</v>
      </c>
      <c r="I82" s="64" t="s">
        <v>31</v>
      </c>
      <c r="J82" s="67" t="s">
        <v>192</v>
      </c>
      <c r="K82" s="71">
        <v>1000.0</v>
      </c>
      <c r="L82" s="44" t="s">
        <v>222</v>
      </c>
      <c r="M82" s="35" t="s">
        <v>522</v>
      </c>
      <c r="N82" s="41" t="s">
        <v>523</v>
      </c>
      <c r="O82" s="35" t="s">
        <v>524</v>
      </c>
      <c r="P82" s="72">
        <v>95.0</v>
      </c>
      <c r="Q82" s="73">
        <v>128.0</v>
      </c>
      <c r="R82" s="73">
        <v>68.0</v>
      </c>
      <c r="S82" s="73">
        <v>37.0</v>
      </c>
      <c r="T82" s="61" t="s">
        <v>53</v>
      </c>
      <c r="U82" s="35" t="s">
        <v>88</v>
      </c>
      <c r="V82" s="35" t="s">
        <v>89</v>
      </c>
      <c r="Z82" s="45">
        <v>42736.0</v>
      </c>
    </row>
    <row r="83">
      <c r="A83" s="32" t="s">
        <v>525</v>
      </c>
      <c r="B83" s="41" t="s">
        <v>526</v>
      </c>
      <c r="C83" s="46">
        <v>11093.1</v>
      </c>
      <c r="D83" s="47" t="str">
        <f>HYPERLINK("https://osu.ppy.sh/u/4879380","Aistre")</f>
        <v>Aistre</v>
      </c>
      <c r="E83" s="35" t="s">
        <v>28</v>
      </c>
      <c r="F83" s="36" t="s">
        <v>340</v>
      </c>
      <c r="G83" s="64" t="s">
        <v>29</v>
      </c>
      <c r="H83" s="37" t="s">
        <v>527</v>
      </c>
      <c r="I83" s="37" t="s">
        <v>31</v>
      </c>
      <c r="J83" s="38" t="s">
        <v>32</v>
      </c>
      <c r="K83" s="39" t="s">
        <v>33</v>
      </c>
      <c r="L83" s="40" t="s">
        <v>528</v>
      </c>
      <c r="M83" s="40" t="s">
        <v>529</v>
      </c>
      <c r="N83" s="40" t="s">
        <v>530</v>
      </c>
      <c r="O83" s="40" t="s">
        <v>121</v>
      </c>
      <c r="P83" s="48"/>
      <c r="Q83" s="48"/>
      <c r="S83" s="48"/>
      <c r="U83" s="40" t="s">
        <v>531</v>
      </c>
      <c r="V83" s="40" t="s">
        <v>532</v>
      </c>
      <c r="Z83" s="45">
        <v>44044.0</v>
      </c>
    </row>
    <row r="84">
      <c r="A84" s="32" t="s">
        <v>533</v>
      </c>
      <c r="B84" s="41" t="s">
        <v>534</v>
      </c>
      <c r="C84" s="46">
        <v>11052.3</v>
      </c>
      <c r="D84" s="47" t="str">
        <f>HYPERLINK("https://osu.ppy.sh/u/7302146","Mya2")</f>
        <v>Mya2</v>
      </c>
      <c r="E84" s="41" t="s">
        <v>28</v>
      </c>
      <c r="F84" s="36" t="s">
        <v>77</v>
      </c>
      <c r="G84" s="37" t="s">
        <v>29</v>
      </c>
      <c r="H84" s="37" t="s">
        <v>535</v>
      </c>
      <c r="I84" s="65" t="s">
        <v>31</v>
      </c>
      <c r="J84" s="38" t="s">
        <v>32</v>
      </c>
      <c r="K84" s="39" t="s">
        <v>33</v>
      </c>
      <c r="L84" s="40" t="s">
        <v>536</v>
      </c>
      <c r="M84" s="41" t="s">
        <v>356</v>
      </c>
      <c r="N84" s="40" t="s">
        <v>537</v>
      </c>
      <c r="O84" s="35" t="s">
        <v>278</v>
      </c>
      <c r="P84" s="72">
        <v>90.0</v>
      </c>
      <c r="Q84" s="73">
        <v>115.0</v>
      </c>
      <c r="R84" s="73">
        <v>63.0</v>
      </c>
      <c r="S84" s="73">
        <v>38.0</v>
      </c>
      <c r="T84" s="61" t="s">
        <v>42</v>
      </c>
      <c r="U84" s="40" t="s">
        <v>418</v>
      </c>
      <c r="V84" s="40" t="s">
        <v>74</v>
      </c>
      <c r="Z84" s="45">
        <v>43252.0</v>
      </c>
    </row>
    <row r="85">
      <c r="A85" s="32" t="s">
        <v>538</v>
      </c>
      <c r="B85" s="41" t="s">
        <v>539</v>
      </c>
      <c r="C85" s="46">
        <v>11051.1</v>
      </c>
      <c r="D85" s="47" t="str">
        <f>HYPERLINK("https://osu.ppy.sh/u/106269","Elysion")</f>
        <v>Elysion</v>
      </c>
      <c r="E85" s="52" t="s">
        <v>28</v>
      </c>
      <c r="F85" s="36" t="s">
        <v>47</v>
      </c>
      <c r="G85" s="37" t="s">
        <v>29</v>
      </c>
      <c r="H85" s="37" t="s">
        <v>67</v>
      </c>
      <c r="I85" s="37" t="s">
        <v>31</v>
      </c>
      <c r="J85" s="38" t="s">
        <v>192</v>
      </c>
      <c r="K85" s="39" t="s">
        <v>33</v>
      </c>
      <c r="L85" s="40" t="s">
        <v>540</v>
      </c>
      <c r="M85" s="41" t="s">
        <v>130</v>
      </c>
      <c r="N85" s="40" t="s">
        <v>541</v>
      </c>
      <c r="O85" s="1" t="s">
        <v>70</v>
      </c>
      <c r="P85" s="108" t="s">
        <v>132</v>
      </c>
      <c r="Q85" s="73">
        <v>124.0</v>
      </c>
      <c r="R85" s="73">
        <v>68.0</v>
      </c>
      <c r="S85" s="73">
        <v>43.0</v>
      </c>
      <c r="T85" s="61" t="s">
        <v>42</v>
      </c>
      <c r="U85" s="40" t="s">
        <v>542</v>
      </c>
      <c r="V85" s="40" t="s">
        <v>89</v>
      </c>
      <c r="Z85" s="45">
        <v>43405.0</v>
      </c>
    </row>
    <row r="86" ht="9.0" customHeight="1">
      <c r="A86" s="32" t="s">
        <v>543</v>
      </c>
      <c r="B86" s="41" t="s">
        <v>544</v>
      </c>
      <c r="C86" s="46">
        <v>11016.6</v>
      </c>
      <c r="D86" s="47" t="str">
        <f>HYPERLINK("https://osu.ppy.sh/u/4999984","overcomplexifii")</f>
        <v>overcomplexifii</v>
      </c>
      <c r="E86" s="52" t="s">
        <v>28</v>
      </c>
      <c r="F86" s="36" t="s">
        <v>105</v>
      </c>
      <c r="G86" s="48" t="s">
        <v>29</v>
      </c>
      <c r="H86" s="37" t="s">
        <v>514</v>
      </c>
      <c r="I86" s="48" t="s">
        <v>31</v>
      </c>
      <c r="J86" s="38" t="s">
        <v>32</v>
      </c>
      <c r="K86" s="82"/>
      <c r="L86" s="40" t="s">
        <v>545</v>
      </c>
      <c r="M86" s="40" t="s">
        <v>546</v>
      </c>
      <c r="N86" s="40" t="s">
        <v>174</v>
      </c>
      <c r="O86" s="69"/>
      <c r="P86" s="79"/>
      <c r="Q86" s="80"/>
      <c r="R86" s="80"/>
      <c r="S86" s="80"/>
      <c r="T86" s="69"/>
      <c r="U86" s="40" t="s">
        <v>547</v>
      </c>
      <c r="V86" s="40" t="s">
        <v>74</v>
      </c>
      <c r="Z86" s="45">
        <v>43435.0</v>
      </c>
    </row>
    <row r="87">
      <c r="A87" s="32" t="s">
        <v>548</v>
      </c>
      <c r="B87" s="41" t="s">
        <v>549</v>
      </c>
      <c r="C87" s="46">
        <v>10986.9</v>
      </c>
      <c r="D87" s="62" t="str">
        <f>HYPERLINK("https://osu.ppy.sh/u/2283137","kiethao")</f>
        <v>kiethao</v>
      </c>
      <c r="E87" s="61" t="s">
        <v>28</v>
      </c>
      <c r="G87" s="53"/>
      <c r="I87" s="53"/>
      <c r="J87" s="54"/>
    </row>
    <row r="88">
      <c r="A88" s="32" t="s">
        <v>550</v>
      </c>
      <c r="B88" s="1" t="s">
        <v>551</v>
      </c>
      <c r="C88" s="33">
        <v>10960.3</v>
      </c>
      <c r="D88" s="34" t="str">
        <f>HYPERLINK("https://osu.ppy.sh/u/7422161","weak")</f>
        <v>weak</v>
      </c>
      <c r="E88" s="52" t="s">
        <v>28</v>
      </c>
      <c r="F88" s="58" t="s">
        <v>105</v>
      </c>
      <c r="G88" s="48" t="s">
        <v>29</v>
      </c>
      <c r="H88" s="48" t="s">
        <v>552</v>
      </c>
      <c r="I88" s="37" t="s">
        <v>31</v>
      </c>
      <c r="J88" s="59" t="s">
        <v>32</v>
      </c>
      <c r="K88" s="74" t="s">
        <v>33</v>
      </c>
      <c r="L88" s="1" t="s">
        <v>553</v>
      </c>
      <c r="M88" s="1" t="s">
        <v>139</v>
      </c>
      <c r="N88" s="1" t="s">
        <v>554</v>
      </c>
      <c r="O88" s="40" t="s">
        <v>141</v>
      </c>
      <c r="P88" s="42" t="s">
        <v>71</v>
      </c>
      <c r="Q88" s="43" t="s">
        <v>39</v>
      </c>
      <c r="R88" s="43" t="s">
        <v>72</v>
      </c>
      <c r="S88" s="43" t="s">
        <v>41</v>
      </c>
      <c r="T88" s="40" t="s">
        <v>42</v>
      </c>
      <c r="U88" s="1" t="s">
        <v>555</v>
      </c>
      <c r="V88" s="1" t="s">
        <v>556</v>
      </c>
      <c r="Z88" s="45">
        <v>43831.0</v>
      </c>
    </row>
    <row r="89">
      <c r="A89" s="32" t="s">
        <v>557</v>
      </c>
      <c r="B89" s="1" t="s">
        <v>558</v>
      </c>
      <c r="C89" s="33">
        <v>10949.0</v>
      </c>
      <c r="D89" s="34" t="str">
        <f>HYPERLINK("https://osu.ppy.sh/u/5273488","fyre")</f>
        <v>fyre</v>
      </c>
      <c r="E89" s="55" t="s">
        <v>28</v>
      </c>
      <c r="F89" s="58" t="s">
        <v>559</v>
      </c>
      <c r="G89" s="48" t="s">
        <v>29</v>
      </c>
      <c r="H89" s="48" t="s">
        <v>67</v>
      </c>
      <c r="I89" s="48" t="s">
        <v>31</v>
      </c>
      <c r="J89" s="59" t="s">
        <v>32</v>
      </c>
      <c r="K89" s="60"/>
      <c r="L89" s="55" t="s">
        <v>263</v>
      </c>
      <c r="M89" s="1" t="s">
        <v>130</v>
      </c>
      <c r="N89" s="1" t="s">
        <v>61</v>
      </c>
      <c r="O89" s="1" t="s">
        <v>70</v>
      </c>
      <c r="P89" s="72" t="s">
        <v>132</v>
      </c>
      <c r="Q89" s="73">
        <v>124.0</v>
      </c>
      <c r="R89" s="73">
        <v>68.0</v>
      </c>
      <c r="S89" s="73">
        <v>43.0</v>
      </c>
      <c r="T89" s="61" t="s">
        <v>42</v>
      </c>
      <c r="U89" s="55" t="s">
        <v>560</v>
      </c>
      <c r="V89" s="1" t="s">
        <v>74</v>
      </c>
      <c r="Z89" s="45">
        <v>43525.0</v>
      </c>
    </row>
    <row r="90">
      <c r="A90" s="32" t="s">
        <v>561</v>
      </c>
      <c r="B90" s="1" t="s">
        <v>562</v>
      </c>
      <c r="C90" s="33">
        <v>10946.5</v>
      </c>
      <c r="D90" s="34" t="str">
        <f>HYPERLINK("https://osu.ppy.sh/u/7940696","pundice")</f>
        <v>pundice</v>
      </c>
      <c r="E90" s="41" t="s">
        <v>28</v>
      </c>
      <c r="F90" s="58" t="s">
        <v>77</v>
      </c>
      <c r="G90" s="48" t="s">
        <v>29</v>
      </c>
      <c r="H90" s="48" t="s">
        <v>67</v>
      </c>
      <c r="I90" s="48" t="s">
        <v>31</v>
      </c>
      <c r="J90" s="59" t="s">
        <v>32</v>
      </c>
      <c r="K90" s="74" t="s">
        <v>81</v>
      </c>
      <c r="L90" s="1" t="s">
        <v>417</v>
      </c>
      <c r="M90" s="1" t="s">
        <v>100</v>
      </c>
      <c r="N90" s="1" t="s">
        <v>174</v>
      </c>
      <c r="O90" s="35" t="s">
        <v>101</v>
      </c>
      <c r="P90" s="72">
        <v>105.0</v>
      </c>
      <c r="Q90" s="73">
        <v>127.0</v>
      </c>
      <c r="R90" s="73">
        <v>70.0</v>
      </c>
      <c r="S90" s="73">
        <v>44.0</v>
      </c>
      <c r="T90" s="44" t="s">
        <v>42</v>
      </c>
      <c r="U90" s="1" t="s">
        <v>333</v>
      </c>
      <c r="V90" s="1" t="s">
        <v>203</v>
      </c>
      <c r="Z90" s="45">
        <v>43617.0</v>
      </c>
    </row>
    <row r="91">
      <c r="A91" s="32" t="s">
        <v>563</v>
      </c>
      <c r="B91" s="1" t="s">
        <v>564</v>
      </c>
      <c r="C91" s="33">
        <v>10928.1</v>
      </c>
      <c r="D91" s="34" t="str">
        <f>HYPERLINK("https://osu.ppy.sh/u/6660546","_Kyori")</f>
        <v>_Kyori</v>
      </c>
      <c r="E91" s="40"/>
      <c r="F91" s="48"/>
      <c r="G91" s="37"/>
      <c r="H91" s="48"/>
      <c r="I91" s="48"/>
      <c r="J91" s="59"/>
      <c r="K91" s="53"/>
      <c r="L91" s="1"/>
      <c r="M91" s="40"/>
      <c r="N91" s="56"/>
      <c r="O91" s="35"/>
      <c r="P91" s="72"/>
      <c r="Q91" s="73"/>
      <c r="R91" s="73"/>
      <c r="S91" s="73"/>
      <c r="T91" s="61"/>
      <c r="U91" s="55"/>
      <c r="V91" s="55"/>
      <c r="Z91" s="45"/>
      <c r="AA91" s="57"/>
    </row>
    <row r="92">
      <c r="A92" s="32" t="s">
        <v>565</v>
      </c>
      <c r="B92" s="41" t="s">
        <v>566</v>
      </c>
      <c r="C92" s="46">
        <v>10925.5</v>
      </c>
      <c r="D92" s="83" t="str">
        <f>HYPERLINK("https://osu.ppy.sh/u/7236080","Ampharos")</f>
        <v>Ampharos</v>
      </c>
      <c r="E92" s="41" t="s">
        <v>28</v>
      </c>
      <c r="F92" s="63" t="s">
        <v>105</v>
      </c>
      <c r="G92" s="65" t="s">
        <v>29</v>
      </c>
      <c r="H92" s="65" t="s">
        <v>67</v>
      </c>
      <c r="I92" s="65" t="s">
        <v>267</v>
      </c>
      <c r="J92" s="89" t="s">
        <v>32</v>
      </c>
      <c r="K92" s="39" t="s">
        <v>33</v>
      </c>
      <c r="L92" s="52" t="s">
        <v>129</v>
      </c>
      <c r="M92" s="41" t="s">
        <v>199</v>
      </c>
      <c r="N92" s="68" t="s">
        <v>259</v>
      </c>
      <c r="O92" s="35" t="s">
        <v>201</v>
      </c>
      <c r="P92" s="72">
        <v>103.0</v>
      </c>
      <c r="Q92" s="73">
        <v>136.0</v>
      </c>
      <c r="R92" s="73">
        <v>72.0</v>
      </c>
      <c r="S92" s="73">
        <v>41.0</v>
      </c>
      <c r="T92" s="61" t="s">
        <v>42</v>
      </c>
      <c r="U92" s="35"/>
      <c r="V92" s="75"/>
      <c r="Z92" s="45">
        <v>43040.0</v>
      </c>
    </row>
    <row r="93">
      <c r="A93" s="32" t="s">
        <v>567</v>
      </c>
      <c r="B93" s="41" t="s">
        <v>568</v>
      </c>
      <c r="C93" s="46">
        <v>10911.9</v>
      </c>
      <c r="D93" s="47" t="str">
        <f>HYPERLINK("https://osu.ppy.sh/u/5252004","kage")</f>
        <v>kage</v>
      </c>
      <c r="E93" s="55"/>
      <c r="F93" s="109"/>
      <c r="G93" s="53"/>
      <c r="H93" s="53"/>
      <c r="I93" s="53"/>
      <c r="J93" s="54"/>
      <c r="K93" s="60"/>
      <c r="L93" s="53"/>
      <c r="P93" s="91"/>
      <c r="Q93" s="92"/>
      <c r="R93" s="93"/>
      <c r="S93" s="93"/>
      <c r="T93" s="53"/>
      <c r="U93" s="41"/>
    </row>
    <row r="94">
      <c r="A94" s="32" t="s">
        <v>569</v>
      </c>
      <c r="B94" s="41" t="s">
        <v>570</v>
      </c>
      <c r="C94" s="46">
        <v>10894.3</v>
      </c>
      <c r="D94" s="83" t="str">
        <f>HYPERLINK("https://osu.ppy.sh/u/7433533","gissirianko")</f>
        <v>gissirianko</v>
      </c>
      <c r="E94" s="52" t="s">
        <v>571</v>
      </c>
      <c r="F94" s="63">
        <v>800.0</v>
      </c>
      <c r="G94" s="65" t="s">
        <v>29</v>
      </c>
      <c r="H94" s="65" t="s">
        <v>572</v>
      </c>
      <c r="I94" s="65" t="s">
        <v>31</v>
      </c>
      <c r="J94" s="89" t="s">
        <v>32</v>
      </c>
      <c r="K94" s="82"/>
      <c r="L94" s="52" t="s">
        <v>573</v>
      </c>
      <c r="M94" s="41" t="s">
        <v>574</v>
      </c>
      <c r="N94" s="41" t="s">
        <v>575</v>
      </c>
      <c r="O94" s="1"/>
      <c r="P94" s="72"/>
      <c r="Q94" s="73"/>
      <c r="R94" s="73"/>
      <c r="S94" s="73"/>
      <c r="T94" s="61"/>
      <c r="U94" s="68" t="s">
        <v>576</v>
      </c>
      <c r="V94" s="35"/>
      <c r="Z94" s="45">
        <v>43191.0</v>
      </c>
    </row>
    <row r="95">
      <c r="A95" s="32" t="s">
        <v>144</v>
      </c>
      <c r="B95" s="1" t="s">
        <v>577</v>
      </c>
      <c r="C95" s="33">
        <v>10810.9</v>
      </c>
      <c r="D95" s="34" t="str">
        <f>HYPERLINK("https://osu.ppy.sh/u/10096496","Dim0ND")</f>
        <v>Dim0ND</v>
      </c>
      <c r="E95" s="52" t="s">
        <v>28</v>
      </c>
      <c r="F95" s="36" t="s">
        <v>105</v>
      </c>
      <c r="G95" s="37" t="s">
        <v>29</v>
      </c>
      <c r="H95" s="48" t="s">
        <v>578</v>
      </c>
      <c r="I95" s="37" t="s">
        <v>579</v>
      </c>
      <c r="J95" s="38" t="s">
        <v>32</v>
      </c>
      <c r="K95" s="39" t="s">
        <v>33</v>
      </c>
      <c r="L95" s="1" t="s">
        <v>107</v>
      </c>
      <c r="M95" s="55" t="s">
        <v>580</v>
      </c>
      <c r="N95" s="56"/>
      <c r="O95" s="1"/>
      <c r="P95" s="85"/>
      <c r="Q95" s="86"/>
      <c r="R95" s="87"/>
      <c r="S95" s="87"/>
      <c r="T95" s="110"/>
      <c r="U95" s="56"/>
      <c r="V95" s="56"/>
      <c r="Z95" s="45">
        <v>44013.0</v>
      </c>
      <c r="AA95" s="57"/>
    </row>
    <row r="96">
      <c r="A96" s="32" t="s">
        <v>581</v>
      </c>
      <c r="B96" s="1" t="s">
        <v>582</v>
      </c>
      <c r="C96" s="33">
        <v>10788.2</v>
      </c>
      <c r="D96" s="34" t="str">
        <f>HYPERLINK("https://osu.ppy.sh/u/9843825","Arav")</f>
        <v>Arav</v>
      </c>
      <c r="E96" s="41" t="s">
        <v>28</v>
      </c>
      <c r="F96" s="58">
        <v>1500.0</v>
      </c>
      <c r="G96" s="48" t="s">
        <v>29</v>
      </c>
      <c r="H96" s="48" t="s">
        <v>583</v>
      </c>
      <c r="I96" s="48" t="s">
        <v>31</v>
      </c>
      <c r="J96" s="59" t="s">
        <v>32</v>
      </c>
      <c r="K96" s="74">
        <v>1000.0</v>
      </c>
      <c r="L96" s="55" t="s">
        <v>584</v>
      </c>
      <c r="M96" s="1" t="s">
        <v>69</v>
      </c>
      <c r="N96" s="1" t="s">
        <v>179</v>
      </c>
      <c r="O96" s="1" t="s">
        <v>70</v>
      </c>
      <c r="P96" s="42" t="s">
        <v>71</v>
      </c>
      <c r="Q96" s="43" t="s">
        <v>39</v>
      </c>
      <c r="R96" s="43" t="s">
        <v>72</v>
      </c>
      <c r="S96" s="43" t="s">
        <v>41</v>
      </c>
      <c r="T96" s="61" t="s">
        <v>42</v>
      </c>
      <c r="U96" s="1" t="s">
        <v>585</v>
      </c>
      <c r="V96" s="1" t="s">
        <v>74</v>
      </c>
      <c r="Z96" s="45">
        <v>43862.0</v>
      </c>
    </row>
    <row r="97" ht="17.25" customHeight="1">
      <c r="A97" s="32" t="s">
        <v>586</v>
      </c>
      <c r="B97" s="1" t="s">
        <v>587</v>
      </c>
      <c r="C97" s="33">
        <v>10787.6</v>
      </c>
      <c r="D97" s="34" t="str">
        <f>HYPERLINK("https://osu.ppy.sh/u/8847379","SneakY NickY")</f>
        <v>SneakY NickY</v>
      </c>
      <c r="E97" s="40"/>
      <c r="F97" s="48"/>
      <c r="G97" s="37"/>
      <c r="H97" s="48"/>
      <c r="I97" s="48"/>
      <c r="J97" s="59"/>
      <c r="K97" s="53"/>
      <c r="L97" s="1"/>
      <c r="M97" s="40"/>
      <c r="N97" s="56"/>
      <c r="O97" s="35"/>
      <c r="P97" s="72"/>
      <c r="Q97" s="73"/>
      <c r="R97" s="73"/>
      <c r="S97" s="73"/>
      <c r="T97" s="61"/>
      <c r="U97" s="55"/>
      <c r="V97" s="55"/>
      <c r="Z97" s="45"/>
      <c r="AA97" s="57"/>
    </row>
    <row r="98" ht="16.5" customHeight="1">
      <c r="A98" s="32" t="s">
        <v>156</v>
      </c>
      <c r="B98" s="41" t="s">
        <v>588</v>
      </c>
      <c r="C98" s="46">
        <v>10750.7</v>
      </c>
      <c r="D98" s="62" t="str">
        <f>HYPERLINK("https://osu.ppy.sh/u/18983","Doomsday")</f>
        <v>Doomsday</v>
      </c>
      <c r="E98" s="61" t="s">
        <v>28</v>
      </c>
      <c r="F98" s="63">
        <v>1500.0</v>
      </c>
      <c r="G98" s="66" t="s">
        <v>128</v>
      </c>
      <c r="H98" s="66" t="s">
        <v>67</v>
      </c>
      <c r="I98" s="66" t="s">
        <v>31</v>
      </c>
      <c r="J98" s="70" t="s">
        <v>32</v>
      </c>
      <c r="K98" s="71">
        <v>500.0</v>
      </c>
      <c r="L98" s="61" t="s">
        <v>230</v>
      </c>
      <c r="M98" s="41" t="s">
        <v>313</v>
      </c>
      <c r="N98" s="41" t="s">
        <v>259</v>
      </c>
      <c r="O98" s="35" t="s">
        <v>314</v>
      </c>
      <c r="P98" s="72">
        <v>80.0</v>
      </c>
      <c r="Q98" s="73">
        <v>117.0</v>
      </c>
      <c r="R98" s="73">
        <v>64.0</v>
      </c>
      <c r="S98" s="73">
        <v>38.0</v>
      </c>
      <c r="T98" s="61" t="s">
        <v>42</v>
      </c>
      <c r="U98" s="35" t="s">
        <v>589</v>
      </c>
      <c r="V98" s="35" t="s">
        <v>74</v>
      </c>
    </row>
    <row r="99">
      <c r="A99" s="32" t="s">
        <v>590</v>
      </c>
      <c r="B99" s="1" t="s">
        <v>591</v>
      </c>
      <c r="C99" s="33">
        <v>10748.8</v>
      </c>
      <c r="D99" s="34" t="str">
        <f>HYPERLINK("https://osu.ppy.sh/u/3715823","ChaosRaidz")</f>
        <v>ChaosRaidz</v>
      </c>
      <c r="E99" s="35" t="s">
        <v>28</v>
      </c>
      <c r="F99" s="58"/>
      <c r="G99" s="53"/>
      <c r="H99" s="53"/>
      <c r="I99" s="53"/>
      <c r="J99" s="54"/>
      <c r="K99" s="60"/>
      <c r="P99" s="91"/>
      <c r="Q99" s="92"/>
      <c r="R99" s="92"/>
      <c r="S99" s="92"/>
      <c r="Z99" s="45"/>
    </row>
    <row r="100">
      <c r="A100" s="32" t="s">
        <v>592</v>
      </c>
      <c r="B100" s="1" t="s">
        <v>593</v>
      </c>
      <c r="C100" s="33">
        <v>10735.9</v>
      </c>
      <c r="D100" s="34" t="str">
        <f>HYPERLINK("https://osu.ppy.sh/u/4899393","PAJWOJ")</f>
        <v>PAJWOJ</v>
      </c>
      <c r="E100" s="1" t="s">
        <v>28</v>
      </c>
      <c r="F100" s="58" t="s">
        <v>77</v>
      </c>
      <c r="G100" s="48" t="s">
        <v>29</v>
      </c>
      <c r="H100" s="48" t="s">
        <v>594</v>
      </c>
      <c r="I100" s="48" t="s">
        <v>31</v>
      </c>
      <c r="J100" s="59" t="s">
        <v>32</v>
      </c>
      <c r="K100" s="60"/>
      <c r="L100" s="1" t="s">
        <v>536</v>
      </c>
      <c r="M100" s="1" t="s">
        <v>130</v>
      </c>
      <c r="N100" s="1" t="s">
        <v>595</v>
      </c>
      <c r="O100" s="1" t="s">
        <v>70</v>
      </c>
      <c r="P100" s="72" t="s">
        <v>132</v>
      </c>
      <c r="Q100" s="73">
        <v>124.0</v>
      </c>
      <c r="R100" s="73">
        <v>68.0</v>
      </c>
      <c r="S100" s="73">
        <v>43.0</v>
      </c>
      <c r="T100" s="61" t="s">
        <v>42</v>
      </c>
      <c r="U100" s="1" t="s">
        <v>596</v>
      </c>
      <c r="V100" s="1" t="s">
        <v>597</v>
      </c>
      <c r="Z100" s="45">
        <v>43497.0</v>
      </c>
    </row>
    <row r="101">
      <c r="A101" s="32" t="s">
        <v>598</v>
      </c>
      <c r="B101" s="41" t="s">
        <v>599</v>
      </c>
      <c r="C101" s="46">
        <v>10709.6</v>
      </c>
      <c r="D101" s="47" t="str">
        <f>HYPERLINK("https://osu.ppy.sh/u/5189431","Besta")</f>
        <v>Besta</v>
      </c>
      <c r="E101" s="55" t="s">
        <v>28</v>
      </c>
      <c r="F101" s="58" t="s">
        <v>335</v>
      </c>
      <c r="G101" s="48" t="s">
        <v>29</v>
      </c>
      <c r="H101" s="48" t="s">
        <v>67</v>
      </c>
      <c r="I101" s="48" t="s">
        <v>31</v>
      </c>
      <c r="J101" s="59" t="s">
        <v>32</v>
      </c>
      <c r="K101" s="74" t="s">
        <v>33</v>
      </c>
      <c r="L101" s="55" t="s">
        <v>510</v>
      </c>
      <c r="M101" s="1" t="s">
        <v>100</v>
      </c>
      <c r="N101" s="1" t="s">
        <v>357</v>
      </c>
      <c r="O101" s="35" t="s">
        <v>101</v>
      </c>
      <c r="P101" s="72">
        <v>105.0</v>
      </c>
      <c r="Q101" s="73">
        <v>127.0</v>
      </c>
      <c r="R101" s="73">
        <v>70.0</v>
      </c>
      <c r="S101" s="73">
        <v>44.0</v>
      </c>
      <c r="T101" s="44" t="s">
        <v>42</v>
      </c>
      <c r="U101" s="55" t="s">
        <v>600</v>
      </c>
      <c r="V101" s="1" t="s">
        <v>74</v>
      </c>
      <c r="Z101" s="45">
        <v>43617.0</v>
      </c>
    </row>
    <row r="102">
      <c r="A102" s="32" t="s">
        <v>601</v>
      </c>
      <c r="B102" s="41" t="s">
        <v>602</v>
      </c>
      <c r="C102" s="46">
        <v>10680.3</v>
      </c>
      <c r="D102" s="47" t="str">
        <f>HYPERLINK("https://osu.ppy.sh/u/1251071","9sh26")</f>
        <v>9sh26</v>
      </c>
      <c r="E102" s="52" t="s">
        <v>28</v>
      </c>
      <c r="F102" s="36" t="s">
        <v>105</v>
      </c>
      <c r="G102" s="37" t="s">
        <v>29</v>
      </c>
      <c r="H102" s="37" t="s">
        <v>67</v>
      </c>
      <c r="I102" s="48" t="s">
        <v>31</v>
      </c>
      <c r="J102" s="38" t="s">
        <v>32</v>
      </c>
      <c r="K102" s="39" t="s">
        <v>33</v>
      </c>
      <c r="L102" s="52" t="s">
        <v>222</v>
      </c>
      <c r="M102" s="40" t="s">
        <v>603</v>
      </c>
      <c r="N102" s="40" t="s">
        <v>604</v>
      </c>
      <c r="O102" s="69"/>
      <c r="P102" s="79"/>
      <c r="Q102" s="80"/>
      <c r="R102" s="80"/>
      <c r="S102" s="80"/>
      <c r="T102" s="69"/>
      <c r="U102" s="40" t="s">
        <v>605</v>
      </c>
      <c r="V102" s="40" t="s">
        <v>74</v>
      </c>
      <c r="Z102" s="45">
        <v>43709.0</v>
      </c>
    </row>
    <row r="103">
      <c r="A103" s="32" t="s">
        <v>163</v>
      </c>
      <c r="B103" s="1" t="s">
        <v>606</v>
      </c>
      <c r="C103" s="33">
        <v>10679.4</v>
      </c>
      <c r="D103" s="34" t="str">
        <f>HYPERLINK("https://osu.ppy.sh/u/4934554","hlanden")</f>
        <v>hlanden</v>
      </c>
      <c r="E103" s="41" t="s">
        <v>28</v>
      </c>
      <c r="F103" s="58" t="s">
        <v>607</v>
      </c>
      <c r="G103" s="48" t="s">
        <v>29</v>
      </c>
      <c r="H103" s="48" t="s">
        <v>67</v>
      </c>
      <c r="I103" s="48" t="s">
        <v>31</v>
      </c>
      <c r="J103" s="59" t="s">
        <v>32</v>
      </c>
      <c r="K103" s="74" t="s">
        <v>33</v>
      </c>
      <c r="M103" s="1" t="s">
        <v>108</v>
      </c>
      <c r="N103" s="1" t="s">
        <v>608</v>
      </c>
      <c r="O103" s="1" t="s">
        <v>109</v>
      </c>
      <c r="P103" s="85" t="s">
        <v>110</v>
      </c>
      <c r="Q103" s="86" t="s">
        <v>39</v>
      </c>
      <c r="R103" s="87" t="s">
        <v>72</v>
      </c>
      <c r="S103" s="87" t="s">
        <v>41</v>
      </c>
      <c r="T103" s="48" t="s">
        <v>42</v>
      </c>
      <c r="U103" s="1" t="s">
        <v>609</v>
      </c>
      <c r="V103" s="1" t="s">
        <v>44</v>
      </c>
      <c r="Z103" s="45"/>
    </row>
    <row r="104" ht="12.0" customHeight="1">
      <c r="A104" s="32" t="s">
        <v>610</v>
      </c>
      <c r="B104" s="41" t="s">
        <v>611</v>
      </c>
      <c r="C104" s="46">
        <v>10672.0</v>
      </c>
      <c r="D104" s="105" t="str">
        <f>HYPERLINK("https://osu.ppy.sh/u/284905","Ekoro")</f>
        <v>Ekoro</v>
      </c>
      <c r="E104" s="35" t="s">
        <v>320</v>
      </c>
      <c r="F104" s="63">
        <v>1000.0</v>
      </c>
      <c r="G104" s="101"/>
      <c r="H104" s="101"/>
      <c r="I104" s="101"/>
      <c r="J104" s="49"/>
      <c r="K104" s="82"/>
      <c r="L104" s="69"/>
      <c r="M104" s="35" t="s">
        <v>612</v>
      </c>
      <c r="N104" s="69"/>
      <c r="O104" s="40" t="s">
        <v>613</v>
      </c>
      <c r="P104" s="79"/>
      <c r="Q104" s="80"/>
      <c r="R104" s="80"/>
      <c r="S104" s="80"/>
      <c r="T104" s="57"/>
      <c r="U104" s="75" t="s">
        <v>62</v>
      </c>
      <c r="V104" s="75" t="s">
        <v>614</v>
      </c>
    </row>
    <row r="105">
      <c r="A105" s="32" t="s">
        <v>615</v>
      </c>
      <c r="B105" s="41" t="s">
        <v>616</v>
      </c>
      <c r="C105" s="46">
        <v>10671.7</v>
      </c>
      <c r="D105" s="47" t="str">
        <f>HYPERLINK("https://osu.ppy.sh/u/9339525","dartzy")</f>
        <v>dartzy</v>
      </c>
      <c r="E105" s="52" t="s">
        <v>28</v>
      </c>
      <c r="F105" s="36" t="s">
        <v>105</v>
      </c>
      <c r="G105" s="37" t="s">
        <v>29</v>
      </c>
      <c r="H105" s="37" t="s">
        <v>67</v>
      </c>
      <c r="I105" s="37" t="s">
        <v>31</v>
      </c>
      <c r="J105" s="49"/>
      <c r="K105" s="39" t="s">
        <v>33</v>
      </c>
      <c r="L105" s="1" t="s">
        <v>222</v>
      </c>
      <c r="M105" s="40" t="s">
        <v>199</v>
      </c>
      <c r="N105" s="35" t="s">
        <v>61</v>
      </c>
      <c r="O105" s="35" t="s">
        <v>391</v>
      </c>
      <c r="P105" s="72">
        <v>103.0</v>
      </c>
      <c r="Q105" s="73">
        <v>136.0</v>
      </c>
      <c r="R105" s="73">
        <v>72.0</v>
      </c>
      <c r="S105" s="73">
        <v>41.0</v>
      </c>
      <c r="T105" s="61" t="s">
        <v>42</v>
      </c>
      <c r="U105" s="40" t="s">
        <v>617</v>
      </c>
      <c r="V105" s="40" t="s">
        <v>618</v>
      </c>
    </row>
    <row r="106">
      <c r="A106" s="32" t="s">
        <v>170</v>
      </c>
      <c r="B106" s="41" t="s">
        <v>619</v>
      </c>
      <c r="C106" s="46">
        <v>10655.9</v>
      </c>
      <c r="D106" s="47" t="str">
        <f>HYPERLINK("https://osu.ppy.sh/u/3373422","skylewl")</f>
        <v>skylewl</v>
      </c>
      <c r="E106" s="52" t="s">
        <v>28</v>
      </c>
      <c r="F106" s="36" t="s">
        <v>105</v>
      </c>
      <c r="G106" s="37" t="s">
        <v>29</v>
      </c>
      <c r="H106" s="37" t="s">
        <v>620</v>
      </c>
      <c r="I106" s="37" t="s">
        <v>31</v>
      </c>
      <c r="J106" s="38" t="s">
        <v>32</v>
      </c>
      <c r="K106" s="39" t="s">
        <v>81</v>
      </c>
      <c r="L106" s="40" t="s">
        <v>621</v>
      </c>
      <c r="M106" s="40" t="s">
        <v>622</v>
      </c>
      <c r="N106" s="40" t="s">
        <v>623</v>
      </c>
      <c r="O106" s="35" t="s">
        <v>52</v>
      </c>
      <c r="P106" s="42" t="s">
        <v>187</v>
      </c>
      <c r="Q106" s="43" t="s">
        <v>175</v>
      </c>
      <c r="R106" s="43" t="s">
        <v>40</v>
      </c>
      <c r="S106" s="43" t="s">
        <v>251</v>
      </c>
      <c r="T106" s="88" t="s">
        <v>53</v>
      </c>
      <c r="U106" s="40" t="s">
        <v>624</v>
      </c>
      <c r="V106" s="40" t="s">
        <v>625</v>
      </c>
      <c r="Z106" s="45">
        <v>43983.0</v>
      </c>
    </row>
    <row r="107">
      <c r="A107" s="32" t="s">
        <v>626</v>
      </c>
      <c r="B107" s="41" t="s">
        <v>627</v>
      </c>
      <c r="C107" s="46">
        <v>10633.5</v>
      </c>
      <c r="D107" s="62" t="str">
        <f>HYPERLINK("https://osu.ppy.sh/u/1427407","- Phantasma -")</f>
        <v>- Phantasma -</v>
      </c>
      <c r="E107" s="61" t="s">
        <v>28</v>
      </c>
      <c r="F107" s="63">
        <v>1200.0</v>
      </c>
      <c r="G107" s="66" t="s">
        <v>29</v>
      </c>
      <c r="H107" s="66" t="s">
        <v>67</v>
      </c>
      <c r="I107" s="66" t="s">
        <v>267</v>
      </c>
      <c r="J107" s="89" t="s">
        <v>32</v>
      </c>
      <c r="K107" s="82"/>
      <c r="L107" s="61" t="s">
        <v>114</v>
      </c>
      <c r="M107" s="35" t="s">
        <v>485</v>
      </c>
      <c r="N107" s="106" t="s">
        <v>434</v>
      </c>
      <c r="O107" s="35" t="s">
        <v>52</v>
      </c>
      <c r="P107" s="72">
        <v>130.0</v>
      </c>
      <c r="Q107" s="73">
        <v>133.0</v>
      </c>
      <c r="R107" s="73">
        <v>70.0</v>
      </c>
      <c r="S107" s="73">
        <v>46.0</v>
      </c>
      <c r="T107" s="61" t="s">
        <v>218</v>
      </c>
      <c r="U107" s="35" t="s">
        <v>628</v>
      </c>
      <c r="V107" s="35" t="s">
        <v>74</v>
      </c>
    </row>
    <row r="108" ht="15.0" customHeight="1">
      <c r="A108" s="81" t="s">
        <v>629</v>
      </c>
      <c r="B108" s="1" t="s">
        <v>630</v>
      </c>
      <c r="C108" s="33">
        <v>10630.4</v>
      </c>
      <c r="D108" s="34" t="str">
        <f>HYPERLINK("https://osu.ppy.sh/u/8525220","rinny")</f>
        <v>rinny</v>
      </c>
      <c r="E108" s="55" t="s">
        <v>28</v>
      </c>
      <c r="F108" s="48" t="s">
        <v>77</v>
      </c>
      <c r="G108" s="48" t="s">
        <v>236</v>
      </c>
      <c r="H108" s="48" t="s">
        <v>67</v>
      </c>
      <c r="I108" s="48" t="s">
        <v>31</v>
      </c>
      <c r="J108" s="59" t="s">
        <v>32</v>
      </c>
      <c r="K108" s="48" t="s">
        <v>33</v>
      </c>
      <c r="L108" s="1" t="s">
        <v>417</v>
      </c>
      <c r="M108" s="1" t="s">
        <v>108</v>
      </c>
      <c r="N108" s="1" t="s">
        <v>631</v>
      </c>
      <c r="O108" s="1" t="s">
        <v>109</v>
      </c>
      <c r="P108" s="85" t="s">
        <v>110</v>
      </c>
      <c r="Q108" s="86" t="s">
        <v>39</v>
      </c>
      <c r="R108" s="87" t="s">
        <v>72</v>
      </c>
      <c r="S108" s="87" t="s">
        <v>41</v>
      </c>
      <c r="T108" s="48" t="s">
        <v>42</v>
      </c>
      <c r="U108" s="1" t="s">
        <v>632</v>
      </c>
      <c r="V108" s="1" t="s">
        <v>89</v>
      </c>
      <c r="Z108" s="45">
        <v>43922.0</v>
      </c>
      <c r="AA108" s="57"/>
    </row>
    <row r="109" ht="9.75" customHeight="1">
      <c r="A109" s="32" t="s">
        <v>633</v>
      </c>
      <c r="B109" s="111" t="s">
        <v>423</v>
      </c>
      <c r="C109" s="112">
        <v>10619.7</v>
      </c>
      <c r="D109" s="113" t="str">
        <f>HYPERLINK("https://osu.ppy.sh/u/3776064","woo6821")</f>
        <v>woo6821</v>
      </c>
      <c r="E109" s="55" t="s">
        <v>28</v>
      </c>
      <c r="F109" s="58"/>
      <c r="G109" s="53"/>
      <c r="H109" s="53"/>
      <c r="I109" s="48" t="s">
        <v>579</v>
      </c>
      <c r="J109" s="54"/>
      <c r="K109" s="60"/>
      <c r="L109" s="53"/>
      <c r="M109" s="35" t="s">
        <v>50</v>
      </c>
      <c r="N109" s="35"/>
      <c r="O109" s="35" t="s">
        <v>52</v>
      </c>
      <c r="P109" s="72">
        <v>93.0</v>
      </c>
      <c r="Q109" s="73">
        <v>120.0</v>
      </c>
      <c r="R109" s="73">
        <v>64.0</v>
      </c>
      <c r="S109" s="73">
        <v>40.0</v>
      </c>
      <c r="T109" s="61" t="s">
        <v>53</v>
      </c>
      <c r="U109" s="55" t="s">
        <v>605</v>
      </c>
      <c r="V109" s="35"/>
      <c r="Z109" s="45">
        <v>43435.0</v>
      </c>
    </row>
    <row r="110" ht="3.0" customHeight="1">
      <c r="A110" s="32" t="s">
        <v>634</v>
      </c>
      <c r="B110" s="1" t="s">
        <v>635</v>
      </c>
      <c r="C110" s="33">
        <v>10619.2</v>
      </c>
      <c r="D110" s="34" t="str">
        <f>HYPERLINK("https://osu.ppy.sh/u/5791401","im_a_burger_fox")</f>
        <v>im_a_burger_fox</v>
      </c>
      <c r="E110" s="61" t="s">
        <v>28</v>
      </c>
      <c r="F110" s="109"/>
      <c r="G110" s="53"/>
      <c r="H110" s="53"/>
      <c r="I110" s="53"/>
      <c r="J110" s="54"/>
      <c r="K110" s="60"/>
      <c r="P110" s="91"/>
      <c r="Q110" s="92"/>
      <c r="R110" s="92"/>
      <c r="S110" s="92"/>
      <c r="Z110" s="45"/>
    </row>
    <row r="111" ht="1.5" customHeight="1">
      <c r="A111" s="32" t="s">
        <v>636</v>
      </c>
      <c r="B111" s="1" t="s">
        <v>637</v>
      </c>
      <c r="C111" s="33">
        <v>10605.7</v>
      </c>
      <c r="D111" s="94" t="str">
        <f>HYPERLINK("https://osu.ppy.sh/u/4160744","unko")</f>
        <v>unko</v>
      </c>
      <c r="E111" s="41" t="s">
        <v>28</v>
      </c>
      <c r="F111" s="63">
        <v>2500.0</v>
      </c>
      <c r="G111" s="65" t="s">
        <v>29</v>
      </c>
      <c r="H111" s="65" t="s">
        <v>67</v>
      </c>
      <c r="I111" s="65" t="s">
        <v>31</v>
      </c>
      <c r="J111" s="89" t="s">
        <v>192</v>
      </c>
      <c r="K111" s="90"/>
      <c r="L111" s="52" t="s">
        <v>237</v>
      </c>
      <c r="M111" s="41" t="s">
        <v>238</v>
      </c>
      <c r="N111" s="41" t="s">
        <v>295</v>
      </c>
      <c r="O111" s="35" t="s">
        <v>70</v>
      </c>
      <c r="P111" s="72">
        <v>126.0</v>
      </c>
      <c r="Q111" s="73">
        <v>128.0</v>
      </c>
      <c r="R111" s="73">
        <v>76.0</v>
      </c>
      <c r="S111" s="73">
        <v>42.0</v>
      </c>
      <c r="T111" s="61" t="s">
        <v>479</v>
      </c>
      <c r="U111" s="35"/>
      <c r="V111" s="41" t="s">
        <v>63</v>
      </c>
      <c r="Z111" s="45">
        <v>43405.0</v>
      </c>
    </row>
    <row r="112">
      <c r="A112" s="32" t="s">
        <v>638</v>
      </c>
      <c r="B112" s="1" t="s">
        <v>639</v>
      </c>
      <c r="C112" s="33">
        <v>10590.3</v>
      </c>
      <c r="D112" s="34" t="str">
        <f>HYPERLINK("https://osu.ppy.sh/u/4346274","Okinotori")</f>
        <v>Okinotori</v>
      </c>
      <c r="E112" s="61" t="s">
        <v>28</v>
      </c>
      <c r="F112" s="58" t="s">
        <v>105</v>
      </c>
      <c r="G112" s="66" t="s">
        <v>29</v>
      </c>
      <c r="H112" s="65" t="s">
        <v>67</v>
      </c>
      <c r="I112" s="37" t="s">
        <v>31</v>
      </c>
      <c r="J112" s="59"/>
      <c r="K112" s="53"/>
      <c r="L112" s="52" t="s">
        <v>222</v>
      </c>
      <c r="M112" s="40" t="s">
        <v>185</v>
      </c>
      <c r="N112" s="55" t="s">
        <v>640</v>
      </c>
      <c r="O112" s="40" t="s">
        <v>141</v>
      </c>
      <c r="P112" s="42" t="s">
        <v>187</v>
      </c>
      <c r="Q112" s="43" t="s">
        <v>39</v>
      </c>
      <c r="R112" s="43" t="s">
        <v>72</v>
      </c>
      <c r="S112" s="43" t="s">
        <v>41</v>
      </c>
      <c r="T112" s="40" t="s">
        <v>42</v>
      </c>
      <c r="U112" s="55" t="s">
        <v>641</v>
      </c>
      <c r="V112" s="55" t="s">
        <v>203</v>
      </c>
      <c r="Z112" s="45">
        <v>44166.0</v>
      </c>
      <c r="AA112" s="57"/>
    </row>
    <row r="113">
      <c r="A113" s="32" t="s">
        <v>642</v>
      </c>
      <c r="B113" s="41" t="s">
        <v>643</v>
      </c>
      <c r="C113" s="46">
        <v>10590.0</v>
      </c>
      <c r="D113" s="62" t="str">
        <f>HYPERLINK("https://osu.ppy.sh/u/2984823","onyaga")</f>
        <v>onyaga</v>
      </c>
      <c r="E113" s="35" t="s">
        <v>28</v>
      </c>
      <c r="F113" s="63">
        <v>1250.0</v>
      </c>
      <c r="G113" s="64" t="s">
        <v>78</v>
      </c>
      <c r="H113" s="65" t="s">
        <v>172</v>
      </c>
      <c r="I113" s="64" t="s">
        <v>31</v>
      </c>
      <c r="J113" s="67" t="s">
        <v>32</v>
      </c>
      <c r="K113" s="82"/>
      <c r="L113" s="44"/>
      <c r="M113" s="75" t="s">
        <v>644</v>
      </c>
      <c r="N113" s="75" t="s">
        <v>174</v>
      </c>
      <c r="O113" s="57"/>
      <c r="P113" s="72">
        <v>152.0</v>
      </c>
      <c r="Q113" s="73">
        <v>140.0</v>
      </c>
      <c r="R113" s="73">
        <v>83.0</v>
      </c>
      <c r="S113" s="73">
        <v>43.0</v>
      </c>
      <c r="T113" s="57"/>
      <c r="U113" s="75" t="s">
        <v>645</v>
      </c>
      <c r="V113" s="75" t="s">
        <v>491</v>
      </c>
      <c r="Z113" s="45">
        <v>42795.0</v>
      </c>
    </row>
    <row r="114">
      <c r="A114" s="32" t="s">
        <v>646</v>
      </c>
      <c r="B114" s="41" t="s">
        <v>647</v>
      </c>
      <c r="C114" s="46">
        <v>10575.2</v>
      </c>
      <c r="D114" s="62" t="str">
        <f>HYPERLINK("https://osu.ppy.sh/u/487985","gasanww")</f>
        <v>gasanww</v>
      </c>
      <c r="E114" s="61" t="s">
        <v>571</v>
      </c>
      <c r="F114" s="63">
        <v>400.0</v>
      </c>
      <c r="G114" s="66" t="s">
        <v>29</v>
      </c>
      <c r="H114" s="65" t="s">
        <v>424</v>
      </c>
      <c r="I114" s="66" t="s">
        <v>31</v>
      </c>
      <c r="J114" s="70" t="s">
        <v>32</v>
      </c>
      <c r="K114" s="71">
        <v>1000.0</v>
      </c>
      <c r="L114" s="52" t="s">
        <v>648</v>
      </c>
      <c r="M114" s="41" t="s">
        <v>649</v>
      </c>
      <c r="N114" s="41" t="s">
        <v>650</v>
      </c>
      <c r="O114" s="1" t="s">
        <v>70</v>
      </c>
      <c r="P114" s="72" t="s">
        <v>132</v>
      </c>
      <c r="Q114" s="73">
        <v>124.0</v>
      </c>
      <c r="R114" s="73">
        <v>68.0</v>
      </c>
      <c r="S114" s="73">
        <v>43.0</v>
      </c>
      <c r="T114" s="61" t="s">
        <v>42</v>
      </c>
      <c r="U114" s="114" t="s">
        <v>651</v>
      </c>
      <c r="V114" s="68" t="s">
        <v>652</v>
      </c>
      <c r="Z114" s="45">
        <v>43009.0</v>
      </c>
    </row>
    <row r="115">
      <c r="A115" s="32" t="s">
        <v>653</v>
      </c>
      <c r="B115" s="41" t="s">
        <v>654</v>
      </c>
      <c r="C115" s="46">
        <v>10559.3</v>
      </c>
      <c r="D115" s="47" t="str">
        <f>HYPERLINK("https://osu.ppy.sh/u/5104320","SeeL")</f>
        <v>SeeL</v>
      </c>
      <c r="E115" s="52" t="s">
        <v>28</v>
      </c>
      <c r="F115" s="36">
        <v>1200.0</v>
      </c>
      <c r="G115" s="37" t="s">
        <v>29</v>
      </c>
      <c r="H115" s="37" t="s">
        <v>527</v>
      </c>
      <c r="I115" s="37" t="s">
        <v>31</v>
      </c>
      <c r="J115" s="38" t="s">
        <v>32</v>
      </c>
      <c r="K115" s="82"/>
      <c r="L115" s="40" t="s">
        <v>99</v>
      </c>
      <c r="M115" s="40" t="s">
        <v>655</v>
      </c>
      <c r="N115" s="69"/>
      <c r="O115" s="75" t="s">
        <v>201</v>
      </c>
      <c r="P115" s="79"/>
      <c r="Q115" s="80"/>
      <c r="R115" s="80"/>
      <c r="S115" s="80"/>
      <c r="T115" s="69"/>
      <c r="U115" s="40" t="s">
        <v>102</v>
      </c>
      <c r="V115" s="40" t="s">
        <v>89</v>
      </c>
      <c r="Z115" s="45">
        <v>43435.0</v>
      </c>
    </row>
    <row r="116">
      <c r="A116" s="32" t="s">
        <v>656</v>
      </c>
      <c r="B116" s="41" t="s">
        <v>657</v>
      </c>
      <c r="C116" s="46">
        <v>10556.3</v>
      </c>
      <c r="D116" s="83" t="str">
        <f>HYPERLINK("https://osu.ppy.sh/u/3673083","Felrion")</f>
        <v>Felrion</v>
      </c>
      <c r="E116" s="41" t="s">
        <v>28</v>
      </c>
      <c r="F116" s="63">
        <v>1600.0</v>
      </c>
      <c r="G116" s="65" t="s">
        <v>29</v>
      </c>
      <c r="H116" s="37" t="s">
        <v>67</v>
      </c>
      <c r="I116" s="37" t="s">
        <v>31</v>
      </c>
      <c r="J116" s="38" t="s">
        <v>32</v>
      </c>
      <c r="K116" s="71">
        <v>1000.0</v>
      </c>
      <c r="L116" s="40" t="s">
        <v>207</v>
      </c>
      <c r="M116" s="41" t="s">
        <v>658</v>
      </c>
      <c r="N116" s="40" t="s">
        <v>61</v>
      </c>
      <c r="O116" s="35" t="s">
        <v>52</v>
      </c>
      <c r="P116" s="72">
        <v>130.0</v>
      </c>
      <c r="Q116" s="73">
        <v>133.0</v>
      </c>
      <c r="R116" s="73">
        <v>70.0</v>
      </c>
      <c r="S116" s="73">
        <v>46.0</v>
      </c>
      <c r="T116" s="44"/>
      <c r="U116" s="41" t="s">
        <v>659</v>
      </c>
      <c r="V116" s="41" t="s">
        <v>74</v>
      </c>
    </row>
    <row r="117">
      <c r="A117" s="32" t="s">
        <v>660</v>
      </c>
      <c r="B117" s="41" t="s">
        <v>661</v>
      </c>
      <c r="C117" s="46">
        <v>10535.5</v>
      </c>
      <c r="D117" s="47" t="str">
        <f>HYPERLINK("https://osu.ppy.sh/u/7777886","Kiyoflame")</f>
        <v>Kiyoflame</v>
      </c>
      <c r="E117" s="52" t="s">
        <v>28</v>
      </c>
      <c r="F117" s="36" t="s">
        <v>105</v>
      </c>
      <c r="G117" s="37" t="s">
        <v>29</v>
      </c>
      <c r="H117" s="37" t="s">
        <v>67</v>
      </c>
      <c r="I117" s="37" t="s">
        <v>31</v>
      </c>
      <c r="J117" s="38" t="s">
        <v>32</v>
      </c>
      <c r="K117" s="39" t="s">
        <v>33</v>
      </c>
      <c r="L117" s="44" t="s">
        <v>222</v>
      </c>
      <c r="M117" s="40" t="s">
        <v>139</v>
      </c>
      <c r="N117" s="40" t="s">
        <v>662</v>
      </c>
      <c r="O117" s="40" t="s">
        <v>141</v>
      </c>
      <c r="P117" s="42" t="s">
        <v>71</v>
      </c>
      <c r="Q117" s="43" t="s">
        <v>39</v>
      </c>
      <c r="R117" s="43" t="s">
        <v>72</v>
      </c>
      <c r="S117" s="43" t="s">
        <v>41</v>
      </c>
      <c r="T117" s="40" t="s">
        <v>42</v>
      </c>
      <c r="U117" s="40" t="s">
        <v>663</v>
      </c>
      <c r="V117" s="69"/>
      <c r="Z117" s="45">
        <v>43983.0</v>
      </c>
    </row>
    <row r="118">
      <c r="A118" s="32" t="s">
        <v>664</v>
      </c>
      <c r="B118" s="1" t="s">
        <v>665</v>
      </c>
      <c r="C118" s="33">
        <v>10532.2</v>
      </c>
      <c r="D118" s="34" t="str">
        <f>HYPERLINK("https://osu.ppy.sh/u/4819811","NinjaFish")</f>
        <v>NinjaFish</v>
      </c>
      <c r="E118" s="52" t="s">
        <v>372</v>
      </c>
      <c r="F118" s="58" t="s">
        <v>47</v>
      </c>
      <c r="G118" s="53"/>
      <c r="H118" s="48" t="s">
        <v>666</v>
      </c>
      <c r="I118" s="48" t="s">
        <v>31</v>
      </c>
      <c r="J118" s="59" t="s">
        <v>32</v>
      </c>
      <c r="K118" s="60"/>
      <c r="M118" s="1" t="s">
        <v>473</v>
      </c>
      <c r="N118" s="1" t="s">
        <v>667</v>
      </c>
      <c r="P118" s="91"/>
      <c r="Q118" s="92"/>
      <c r="R118" s="92"/>
      <c r="S118" s="92"/>
      <c r="U118" s="1" t="s">
        <v>668</v>
      </c>
      <c r="V118" s="1" t="s">
        <v>44</v>
      </c>
      <c r="Z118" s="45"/>
    </row>
    <row r="119">
      <c r="A119" s="32" t="s">
        <v>669</v>
      </c>
      <c r="B119" s="1" t="s">
        <v>670</v>
      </c>
      <c r="C119" s="33">
        <v>10524.6</v>
      </c>
      <c r="D119" s="34" t="str">
        <f>HYPERLINK("https://osu.ppy.sh/u/10038441","My Angel Jeremy")</f>
        <v>My Angel Jeremy</v>
      </c>
      <c r="E119" s="52" t="s">
        <v>28</v>
      </c>
      <c r="F119" s="109"/>
      <c r="G119" s="53"/>
      <c r="H119" s="53"/>
      <c r="I119" s="53"/>
      <c r="J119" s="54"/>
      <c r="K119" s="60"/>
      <c r="M119" s="1"/>
      <c r="P119" s="91"/>
      <c r="Q119" s="92"/>
      <c r="R119" s="92"/>
      <c r="S119" s="92"/>
      <c r="Z119" s="45"/>
    </row>
    <row r="120">
      <c r="A120" s="32" t="s">
        <v>671</v>
      </c>
      <c r="B120" s="40" t="s">
        <v>672</v>
      </c>
      <c r="C120" s="76">
        <v>10495.1</v>
      </c>
      <c r="D120" s="77" t="str">
        <f>HYPERLINK("https://osu.ppy.sh/u/2086138","_AfterWind")</f>
        <v>_AfterWind</v>
      </c>
      <c r="E120" s="41" t="s">
        <v>28</v>
      </c>
      <c r="F120" s="36" t="s">
        <v>303</v>
      </c>
      <c r="G120" s="37" t="s">
        <v>29</v>
      </c>
      <c r="H120" s="37" t="s">
        <v>67</v>
      </c>
      <c r="I120" s="37" t="s">
        <v>336</v>
      </c>
      <c r="J120" s="38" t="s">
        <v>32</v>
      </c>
      <c r="K120" s="115"/>
      <c r="L120" s="40" t="s">
        <v>673</v>
      </c>
      <c r="M120" s="40" t="s">
        <v>214</v>
      </c>
      <c r="N120" s="57"/>
      <c r="O120" s="40" t="s">
        <v>215</v>
      </c>
      <c r="P120" s="42" t="s">
        <v>216</v>
      </c>
      <c r="Q120" s="43" t="s">
        <v>175</v>
      </c>
      <c r="R120" s="43" t="s">
        <v>72</v>
      </c>
      <c r="S120" s="43" t="s">
        <v>217</v>
      </c>
      <c r="T120" s="44" t="s">
        <v>218</v>
      </c>
      <c r="U120" s="40" t="s">
        <v>674</v>
      </c>
      <c r="V120" s="40" t="s">
        <v>74</v>
      </c>
      <c r="W120" s="57"/>
      <c r="X120" s="57"/>
      <c r="Y120" s="57"/>
      <c r="Z120" s="78">
        <v>43922.0</v>
      </c>
    </row>
    <row r="121" ht="17.25" customHeight="1">
      <c r="A121" s="32" t="s">
        <v>675</v>
      </c>
      <c r="B121" s="41" t="s">
        <v>676</v>
      </c>
      <c r="C121" s="46">
        <v>10464.3</v>
      </c>
      <c r="D121" s="62" t="str">
        <f>HYPERLINK("https://osu.ppy.sh/u/10162611","cedru")</f>
        <v>cedru</v>
      </c>
      <c r="E121" s="35" t="s">
        <v>28</v>
      </c>
      <c r="F121" s="63" t="s">
        <v>105</v>
      </c>
      <c r="G121" s="66" t="s">
        <v>29</v>
      </c>
      <c r="H121" s="65" t="s">
        <v>677</v>
      </c>
      <c r="I121" s="37" t="s">
        <v>31</v>
      </c>
      <c r="J121" s="70" t="s">
        <v>32</v>
      </c>
      <c r="K121" s="71">
        <v>1000.0</v>
      </c>
      <c r="L121" s="52" t="s">
        <v>678</v>
      </c>
      <c r="M121" s="41" t="s">
        <v>412</v>
      </c>
      <c r="N121" s="35" t="s">
        <v>61</v>
      </c>
      <c r="O121" s="35"/>
      <c r="P121" s="72"/>
      <c r="Q121" s="73"/>
      <c r="R121" s="73"/>
      <c r="S121" s="73"/>
      <c r="T121" s="61"/>
      <c r="U121" s="35"/>
      <c r="V121" s="41" t="s">
        <v>89</v>
      </c>
      <c r="Z121" s="45">
        <v>44013.0</v>
      </c>
    </row>
    <row r="122" ht="12.0" customHeight="1">
      <c r="A122" s="32" t="s">
        <v>679</v>
      </c>
      <c r="B122" s="41" t="s">
        <v>680</v>
      </c>
      <c r="C122" s="46">
        <v>10460.7</v>
      </c>
      <c r="D122" s="47" t="str">
        <f>HYPERLINK("https://osu.ppy.sh/u/3801459","Carretto")</f>
        <v>Carretto</v>
      </c>
      <c r="E122" s="52" t="s">
        <v>28</v>
      </c>
      <c r="F122" s="100"/>
      <c r="G122" s="101"/>
      <c r="H122" s="101"/>
      <c r="I122" s="101"/>
      <c r="J122" s="49"/>
      <c r="K122" s="82"/>
      <c r="L122" s="69"/>
      <c r="M122" s="69"/>
      <c r="N122" s="69"/>
      <c r="O122" s="69"/>
      <c r="P122" s="79"/>
      <c r="Q122" s="80"/>
      <c r="R122" s="80"/>
      <c r="S122" s="80"/>
      <c r="T122" s="69"/>
      <c r="U122" s="69"/>
      <c r="V122" s="69"/>
    </row>
    <row r="123">
      <c r="A123" s="32" t="s">
        <v>681</v>
      </c>
      <c r="B123" s="1" t="s">
        <v>682</v>
      </c>
      <c r="C123" s="33">
        <v>10456.6</v>
      </c>
      <c r="D123" s="116" t="str">
        <f>HYPERLINK("https://osu.ppy.sh/u/7417838","tutula")</f>
        <v>tutula</v>
      </c>
      <c r="E123" s="41" t="s">
        <v>28</v>
      </c>
      <c r="F123" s="36">
        <v>800.0</v>
      </c>
      <c r="G123" s="37" t="s">
        <v>236</v>
      </c>
      <c r="H123" s="37" t="s">
        <v>67</v>
      </c>
      <c r="I123" s="37" t="s">
        <v>31</v>
      </c>
      <c r="J123" s="38" t="s">
        <v>32</v>
      </c>
      <c r="K123" s="39">
        <v>1000.0</v>
      </c>
      <c r="L123" s="40" t="s">
        <v>222</v>
      </c>
      <c r="M123" s="40" t="s">
        <v>288</v>
      </c>
      <c r="N123" s="40" t="s">
        <v>530</v>
      </c>
      <c r="O123" s="41" t="s">
        <v>109</v>
      </c>
      <c r="P123" s="42">
        <v>85.0</v>
      </c>
      <c r="Q123" s="43">
        <v>117.0</v>
      </c>
      <c r="R123" s="43">
        <v>62.0</v>
      </c>
      <c r="S123" s="43">
        <v>38.0</v>
      </c>
      <c r="T123" s="40" t="s">
        <v>42</v>
      </c>
      <c r="U123" s="40" t="s">
        <v>683</v>
      </c>
      <c r="V123" s="40" t="s">
        <v>89</v>
      </c>
      <c r="Z123" s="45">
        <v>43070.0</v>
      </c>
    </row>
    <row r="124">
      <c r="A124" s="32" t="s">
        <v>684</v>
      </c>
      <c r="B124" s="41" t="s">
        <v>685</v>
      </c>
      <c r="C124" s="46">
        <v>10443.9</v>
      </c>
      <c r="D124" s="83" t="str">
        <f>HYPERLINK("https://osu.ppy.sh/u/5779181","gilmat")</f>
        <v>gilmat</v>
      </c>
      <c r="E124" s="41" t="s">
        <v>28</v>
      </c>
      <c r="F124" s="63">
        <v>1000.0</v>
      </c>
      <c r="G124" s="65" t="s">
        <v>29</v>
      </c>
      <c r="H124" s="65" t="s">
        <v>67</v>
      </c>
      <c r="I124" s="65" t="s">
        <v>31</v>
      </c>
      <c r="J124" s="89" t="s">
        <v>32</v>
      </c>
      <c r="K124" s="71">
        <v>1000.0</v>
      </c>
      <c r="L124" s="52" t="s">
        <v>417</v>
      </c>
      <c r="M124" s="41" t="s">
        <v>35</v>
      </c>
      <c r="N124" s="41" t="s">
        <v>686</v>
      </c>
      <c r="O124" s="41" t="s">
        <v>37</v>
      </c>
      <c r="P124" s="42">
        <v>80.0</v>
      </c>
      <c r="Q124" s="43">
        <v>117.0</v>
      </c>
      <c r="R124" s="43">
        <v>64.0</v>
      </c>
      <c r="S124" s="43">
        <v>38.0</v>
      </c>
      <c r="T124" s="61" t="s">
        <v>42</v>
      </c>
      <c r="U124" s="41" t="s">
        <v>687</v>
      </c>
      <c r="V124" s="41" t="s">
        <v>688</v>
      </c>
      <c r="Z124" s="45">
        <v>42795.0</v>
      </c>
    </row>
    <row r="125">
      <c r="A125" s="32" t="s">
        <v>689</v>
      </c>
      <c r="B125" s="1" t="s">
        <v>690</v>
      </c>
      <c r="C125" s="33">
        <v>10422.7</v>
      </c>
      <c r="D125" s="34" t="str">
        <f>HYPERLINK("https://osu.ppy.sh/u/5248337","Hippo")</f>
        <v>Hippo</v>
      </c>
      <c r="E125" s="52" t="s">
        <v>28</v>
      </c>
      <c r="F125" s="58" t="s">
        <v>105</v>
      </c>
      <c r="G125" s="48" t="s">
        <v>29</v>
      </c>
      <c r="H125" s="48" t="s">
        <v>691</v>
      </c>
      <c r="I125" s="48" t="s">
        <v>31</v>
      </c>
      <c r="J125" s="54"/>
      <c r="K125" s="74" t="s">
        <v>33</v>
      </c>
      <c r="L125" s="1" t="s">
        <v>107</v>
      </c>
      <c r="M125" s="1" t="s">
        <v>692</v>
      </c>
      <c r="N125" s="1" t="s">
        <v>179</v>
      </c>
      <c r="P125" s="91"/>
      <c r="Q125" s="92"/>
      <c r="R125" s="92"/>
      <c r="S125" s="92"/>
      <c r="U125" s="1" t="s">
        <v>693</v>
      </c>
      <c r="V125" s="1" t="s">
        <v>74</v>
      </c>
      <c r="Z125" s="45">
        <v>43070.0</v>
      </c>
    </row>
    <row r="126">
      <c r="A126" s="32" t="s">
        <v>694</v>
      </c>
      <c r="B126" s="1" t="s">
        <v>695</v>
      </c>
      <c r="C126" s="33">
        <v>10360.8</v>
      </c>
      <c r="D126" s="34" t="str">
        <f>HYPERLINK("https://osu.ppy.sh/u/6731135","10k_")</f>
        <v>10k_</v>
      </c>
      <c r="E126" s="52" t="s">
        <v>28</v>
      </c>
      <c r="F126" s="58" t="s">
        <v>105</v>
      </c>
      <c r="G126" s="48" t="s">
        <v>29</v>
      </c>
      <c r="H126" s="48" t="s">
        <v>67</v>
      </c>
      <c r="I126" s="48" t="s">
        <v>31</v>
      </c>
      <c r="J126" s="54"/>
      <c r="K126" s="74" t="s">
        <v>33</v>
      </c>
      <c r="L126" s="1" t="s">
        <v>222</v>
      </c>
      <c r="M126" s="1" t="s">
        <v>69</v>
      </c>
      <c r="N126" s="1" t="s">
        <v>696</v>
      </c>
      <c r="O126" s="40" t="s">
        <v>70</v>
      </c>
      <c r="P126" s="42" t="s">
        <v>71</v>
      </c>
      <c r="Q126" s="43" t="s">
        <v>39</v>
      </c>
      <c r="R126" s="43" t="s">
        <v>72</v>
      </c>
      <c r="S126" s="43" t="s">
        <v>41</v>
      </c>
      <c r="T126" s="61" t="s">
        <v>42</v>
      </c>
      <c r="U126" s="1" t="s">
        <v>240</v>
      </c>
      <c r="V126" s="1" t="s">
        <v>74</v>
      </c>
      <c r="Z126" s="45">
        <v>43070.0</v>
      </c>
    </row>
    <row r="127">
      <c r="A127" s="32" t="s">
        <v>697</v>
      </c>
      <c r="B127" s="41" t="s">
        <v>698</v>
      </c>
      <c r="C127" s="46">
        <v>10358.7</v>
      </c>
      <c r="D127" s="116" t="str">
        <f>HYPERLINK("https://osu.ppy.sh/u/7716455","sbsonic")</f>
        <v>sbsonic</v>
      </c>
      <c r="E127" s="41" t="s">
        <v>699</v>
      </c>
      <c r="F127" s="63">
        <v>800.0</v>
      </c>
      <c r="G127" s="65" t="s">
        <v>29</v>
      </c>
      <c r="H127" s="65" t="s">
        <v>67</v>
      </c>
      <c r="I127" s="65" t="s">
        <v>31</v>
      </c>
      <c r="J127" s="89" t="s">
        <v>32</v>
      </c>
      <c r="K127" s="39">
        <v>1000.0</v>
      </c>
      <c r="L127" s="52" t="s">
        <v>222</v>
      </c>
      <c r="M127" s="41" t="s">
        <v>700</v>
      </c>
      <c r="N127" s="41" t="s">
        <v>595</v>
      </c>
      <c r="O127" s="41" t="s">
        <v>701</v>
      </c>
      <c r="P127" s="42" t="s">
        <v>702</v>
      </c>
      <c r="Q127" s="43" t="s">
        <v>123</v>
      </c>
      <c r="R127" s="43" t="s">
        <v>458</v>
      </c>
      <c r="S127" s="43" t="s">
        <v>329</v>
      </c>
      <c r="T127" s="88" t="s">
        <v>53</v>
      </c>
      <c r="U127" s="41" t="s">
        <v>703</v>
      </c>
      <c r="V127" s="41" t="s">
        <v>74</v>
      </c>
      <c r="Z127" s="45">
        <v>43739.0</v>
      </c>
    </row>
    <row r="128">
      <c r="A128" s="32" t="s">
        <v>704</v>
      </c>
      <c r="B128" s="1" t="s">
        <v>705</v>
      </c>
      <c r="C128" s="1">
        <v>10349.7</v>
      </c>
      <c r="D128" s="94" t="str">
        <f>HYPERLINK("https://osu.ppy.sh/u/7341471","BossPlays")</f>
        <v>BossPlays</v>
      </c>
      <c r="E128" s="1" t="s">
        <v>28</v>
      </c>
      <c r="F128" s="48" t="s">
        <v>706</v>
      </c>
      <c r="G128" s="48" t="s">
        <v>29</v>
      </c>
      <c r="H128" s="48" t="s">
        <v>172</v>
      </c>
      <c r="I128" s="48" t="s">
        <v>242</v>
      </c>
      <c r="J128" s="59" t="s">
        <v>32</v>
      </c>
      <c r="K128" s="48" t="s">
        <v>33</v>
      </c>
      <c r="M128" s="1" t="s">
        <v>707</v>
      </c>
      <c r="N128" s="1" t="s">
        <v>708</v>
      </c>
      <c r="O128" s="40" t="s">
        <v>709</v>
      </c>
      <c r="P128" s="42" t="s">
        <v>110</v>
      </c>
      <c r="Q128" s="43" t="s">
        <v>85</v>
      </c>
      <c r="R128" s="43" t="s">
        <v>458</v>
      </c>
      <c r="S128" s="43" t="s">
        <v>323</v>
      </c>
      <c r="T128" s="52" t="s">
        <v>42</v>
      </c>
      <c r="U128" s="1" t="s">
        <v>600</v>
      </c>
      <c r="V128" s="1" t="s">
        <v>74</v>
      </c>
    </row>
    <row r="129">
      <c r="A129" s="32" t="s">
        <v>710</v>
      </c>
      <c r="B129" s="41" t="s">
        <v>711</v>
      </c>
      <c r="C129" s="46">
        <v>10341.2</v>
      </c>
      <c r="D129" s="62" t="str">
        <f>HYPERLINK("https://osu.ppy.sh/u/1638293","Texats")</f>
        <v>Texats</v>
      </c>
      <c r="E129" s="35" t="s">
        <v>28</v>
      </c>
      <c r="F129" s="63">
        <v>800.0</v>
      </c>
      <c r="G129" s="66" t="s">
        <v>29</v>
      </c>
      <c r="H129" s="66" t="s">
        <v>67</v>
      </c>
      <c r="I129" s="66" t="s">
        <v>421</v>
      </c>
      <c r="J129" s="70" t="s">
        <v>32</v>
      </c>
      <c r="K129" s="82"/>
      <c r="L129" s="61" t="s">
        <v>107</v>
      </c>
      <c r="M129" s="35" t="s">
        <v>712</v>
      </c>
      <c r="N129" s="106" t="s">
        <v>434</v>
      </c>
      <c r="O129" s="69"/>
      <c r="P129" s="79"/>
      <c r="Q129" s="80"/>
      <c r="R129" s="80"/>
      <c r="S129" s="80"/>
      <c r="T129" s="69"/>
      <c r="U129" s="35" t="s">
        <v>713</v>
      </c>
      <c r="V129" s="75" t="s">
        <v>63</v>
      </c>
    </row>
    <row r="130" ht="6.75" customHeight="1">
      <c r="A130" s="32" t="s">
        <v>714</v>
      </c>
      <c r="B130" s="1" t="s">
        <v>715</v>
      </c>
      <c r="C130" s="33">
        <v>10333.6</v>
      </c>
      <c r="D130" s="34" t="str">
        <f>HYPERLINK("https://osu.ppy.sh/u/5910601","Ayya Novak")</f>
        <v>Ayya Novak</v>
      </c>
      <c r="E130" s="41" t="s">
        <v>28</v>
      </c>
      <c r="F130" s="109"/>
      <c r="G130" s="48" t="s">
        <v>29</v>
      </c>
      <c r="H130" s="48" t="s">
        <v>67</v>
      </c>
      <c r="I130" s="53"/>
      <c r="J130" s="54"/>
      <c r="K130" s="74" t="s">
        <v>33</v>
      </c>
      <c r="M130" s="1" t="s">
        <v>288</v>
      </c>
      <c r="P130" s="91"/>
      <c r="Q130" s="92"/>
      <c r="R130" s="92"/>
      <c r="S130" s="92"/>
      <c r="U130" s="1" t="s">
        <v>369</v>
      </c>
      <c r="V130" s="1" t="s">
        <v>89</v>
      </c>
      <c r="Z130" s="45"/>
    </row>
    <row r="131" ht="12.0" customHeight="1">
      <c r="A131" s="32" t="s">
        <v>716</v>
      </c>
      <c r="B131" s="41" t="s">
        <v>717</v>
      </c>
      <c r="C131" s="46">
        <v>10311.4</v>
      </c>
      <c r="D131" s="47" t="str">
        <f>HYPERLINK("https://osu.ppy.sh/u/4981809","BMG_")</f>
        <v>BMG_</v>
      </c>
      <c r="E131" s="52" t="s">
        <v>28</v>
      </c>
      <c r="F131" s="58" t="s">
        <v>77</v>
      </c>
      <c r="G131" s="48" t="s">
        <v>29</v>
      </c>
      <c r="H131" s="48" t="s">
        <v>394</v>
      </c>
      <c r="I131" s="48" t="s">
        <v>31</v>
      </c>
      <c r="J131" s="59" t="s">
        <v>32</v>
      </c>
      <c r="K131" s="74" t="s">
        <v>33</v>
      </c>
      <c r="L131" s="53"/>
      <c r="N131" s="1" t="s">
        <v>718</v>
      </c>
      <c r="P131" s="91"/>
      <c r="Q131" s="92"/>
      <c r="R131" s="93"/>
      <c r="S131" s="93"/>
      <c r="T131" s="53"/>
      <c r="U131" s="55" t="s">
        <v>600</v>
      </c>
      <c r="V131" s="1" t="s">
        <v>74</v>
      </c>
      <c r="Z131" s="117" t="s">
        <v>719</v>
      </c>
      <c r="AA131" s="1" t="s">
        <v>720</v>
      </c>
    </row>
    <row r="132">
      <c r="A132" s="32" t="s">
        <v>721</v>
      </c>
      <c r="B132" s="41" t="s">
        <v>722</v>
      </c>
      <c r="C132" s="46">
        <v>10282.5</v>
      </c>
      <c r="D132" s="62" t="str">
        <f>HYPERLINK("https://osu.ppy.sh/u/1855540","-Visceral-")</f>
        <v>-Visceral-</v>
      </c>
      <c r="E132" s="61" t="s">
        <v>28</v>
      </c>
      <c r="F132" s="63">
        <v>800.0</v>
      </c>
      <c r="G132" s="65" t="s">
        <v>128</v>
      </c>
      <c r="H132" s="65" t="s">
        <v>723</v>
      </c>
      <c r="I132" s="66" t="s">
        <v>31</v>
      </c>
      <c r="J132" s="89" t="s">
        <v>32</v>
      </c>
      <c r="K132" s="71">
        <v>1000.0</v>
      </c>
      <c r="L132" s="52" t="s">
        <v>545</v>
      </c>
      <c r="M132" s="41" t="s">
        <v>724</v>
      </c>
      <c r="N132" s="35"/>
      <c r="O132" s="1" t="s">
        <v>70</v>
      </c>
      <c r="P132" s="108" t="s">
        <v>132</v>
      </c>
      <c r="Q132" s="73">
        <v>124.0</v>
      </c>
      <c r="R132" s="73">
        <v>68.0</v>
      </c>
      <c r="S132" s="73">
        <v>43.0</v>
      </c>
      <c r="T132" s="61" t="s">
        <v>42</v>
      </c>
      <c r="U132" s="41" t="s">
        <v>725</v>
      </c>
      <c r="V132" s="41" t="s">
        <v>89</v>
      </c>
      <c r="Z132" s="45">
        <v>42917.0</v>
      </c>
    </row>
    <row r="133">
      <c r="A133" s="32" t="s">
        <v>726</v>
      </c>
      <c r="B133" s="1" t="s">
        <v>727</v>
      </c>
      <c r="C133" s="33">
        <v>10261.2</v>
      </c>
      <c r="D133" s="34" t="str">
        <f>HYPERLINK("https://osu.ppy.sh/u/4015927","Senjougahara H")</f>
        <v>Senjougahara H</v>
      </c>
      <c r="E133" s="52" t="s">
        <v>28</v>
      </c>
      <c r="F133" s="58" t="s">
        <v>105</v>
      </c>
      <c r="G133" s="48" t="s">
        <v>728</v>
      </c>
      <c r="H133" s="48" t="s">
        <v>67</v>
      </c>
      <c r="I133" s="48" t="s">
        <v>31</v>
      </c>
      <c r="J133" s="59" t="s">
        <v>32</v>
      </c>
      <c r="K133" s="60"/>
      <c r="M133" s="41" t="s">
        <v>100</v>
      </c>
      <c r="O133" s="35" t="s">
        <v>101</v>
      </c>
      <c r="P133" s="72">
        <v>105.0</v>
      </c>
      <c r="Q133" s="73">
        <v>127.0</v>
      </c>
      <c r="R133" s="73">
        <v>70.0</v>
      </c>
      <c r="S133" s="73">
        <v>44.0</v>
      </c>
      <c r="T133" s="61" t="s">
        <v>42</v>
      </c>
      <c r="U133" s="1" t="s">
        <v>252</v>
      </c>
      <c r="V133" s="1" t="s">
        <v>74</v>
      </c>
      <c r="Z133" s="45"/>
    </row>
    <row r="134">
      <c r="A134" s="32" t="s">
        <v>729</v>
      </c>
      <c r="B134" s="102" t="s">
        <v>423</v>
      </c>
      <c r="C134" s="103">
        <v>10260.3</v>
      </c>
      <c r="D134" s="104" t="str">
        <f>HYPERLINK("https://osu.ppy.sh/u/5295743","favela")</f>
        <v>favela</v>
      </c>
      <c r="E134" s="61" t="s">
        <v>28</v>
      </c>
      <c r="F134" s="63">
        <v>850.0</v>
      </c>
      <c r="G134" s="66" t="s">
        <v>29</v>
      </c>
      <c r="H134" s="65" t="s">
        <v>67</v>
      </c>
      <c r="I134" s="66" t="s">
        <v>311</v>
      </c>
      <c r="J134" s="89" t="s">
        <v>32</v>
      </c>
      <c r="K134" s="71">
        <v>500.0</v>
      </c>
      <c r="L134" s="52" t="s">
        <v>129</v>
      </c>
      <c r="M134" s="41" t="s">
        <v>130</v>
      </c>
      <c r="N134" s="41"/>
      <c r="O134" s="1" t="s">
        <v>70</v>
      </c>
      <c r="P134" s="72" t="s">
        <v>132</v>
      </c>
      <c r="Q134" s="73">
        <v>124.0</v>
      </c>
      <c r="R134" s="73">
        <v>68.0</v>
      </c>
      <c r="S134" s="73">
        <v>43.0</v>
      </c>
      <c r="T134" s="61" t="s">
        <v>42</v>
      </c>
      <c r="U134" s="41" t="s">
        <v>176</v>
      </c>
      <c r="V134" s="41" t="s">
        <v>74</v>
      </c>
      <c r="Z134" s="45">
        <v>42917.0</v>
      </c>
    </row>
    <row r="135">
      <c r="A135" s="32" t="s">
        <v>730</v>
      </c>
      <c r="B135" s="1" t="s">
        <v>731</v>
      </c>
      <c r="C135" s="33">
        <v>10259.1</v>
      </c>
      <c r="D135" s="34" t="str">
        <f>HYPERLINK("https://osu.ppy.sh/u/6393126","Desew")</f>
        <v>Desew</v>
      </c>
      <c r="E135" s="52" t="s">
        <v>28</v>
      </c>
      <c r="F135" s="36" t="s">
        <v>732</v>
      </c>
      <c r="G135" s="101"/>
      <c r="H135" s="37" t="s">
        <v>733</v>
      </c>
      <c r="I135" s="37" t="s">
        <v>31</v>
      </c>
      <c r="J135" s="49"/>
      <c r="K135" s="82"/>
      <c r="L135" s="40" t="s">
        <v>734</v>
      </c>
      <c r="M135" s="40" t="s">
        <v>735</v>
      </c>
      <c r="N135" s="69"/>
      <c r="O135" s="40" t="s">
        <v>736</v>
      </c>
      <c r="P135" s="79"/>
      <c r="Q135" s="80"/>
      <c r="R135" s="80"/>
      <c r="S135" s="80"/>
      <c r="T135" s="69"/>
      <c r="U135" s="40" t="s">
        <v>737</v>
      </c>
      <c r="V135" s="40" t="s">
        <v>89</v>
      </c>
      <c r="Z135" s="45">
        <v>43497.0</v>
      </c>
    </row>
    <row r="136">
      <c r="A136" s="32" t="s">
        <v>738</v>
      </c>
      <c r="B136" s="41" t="s">
        <v>739</v>
      </c>
      <c r="C136" s="46">
        <v>10253.9</v>
      </c>
      <c r="D136" s="83" t="str">
        <f>HYPERLINK("https://osu.ppy.sh/u/280147","Noname0")</f>
        <v>Noname0</v>
      </c>
      <c r="E136" s="41" t="s">
        <v>28</v>
      </c>
      <c r="F136" s="63">
        <v>1000.0</v>
      </c>
      <c r="G136" s="65" t="s">
        <v>29</v>
      </c>
      <c r="H136" s="65" t="s">
        <v>67</v>
      </c>
      <c r="I136" s="65" t="s">
        <v>31</v>
      </c>
      <c r="J136" s="89" t="s">
        <v>32</v>
      </c>
      <c r="K136" s="82"/>
      <c r="L136" s="52" t="s">
        <v>417</v>
      </c>
      <c r="M136" s="41" t="s">
        <v>740</v>
      </c>
      <c r="N136" s="41" t="s">
        <v>407</v>
      </c>
      <c r="O136" s="35"/>
      <c r="P136" s="50"/>
      <c r="Q136" s="51"/>
      <c r="R136" s="51"/>
      <c r="S136" s="51"/>
      <c r="T136" s="61"/>
      <c r="U136" s="41" t="s">
        <v>741</v>
      </c>
      <c r="V136" s="41" t="s">
        <v>63</v>
      </c>
      <c r="Z136" s="45">
        <v>42917.0</v>
      </c>
    </row>
    <row r="137" ht="10.5" customHeight="1">
      <c r="A137" s="32" t="s">
        <v>742</v>
      </c>
      <c r="B137" s="1" t="s">
        <v>743</v>
      </c>
      <c r="C137" s="33">
        <v>10247.1</v>
      </c>
      <c r="D137" s="34" t="str">
        <f>HYPERLINK("https://osu.ppy.sh/u/6004937","Kynexiz")</f>
        <v>Kynexiz</v>
      </c>
      <c r="E137" s="52" t="s">
        <v>28</v>
      </c>
      <c r="F137" s="58" t="s">
        <v>105</v>
      </c>
      <c r="G137" s="48" t="s">
        <v>29</v>
      </c>
      <c r="H137" s="48" t="s">
        <v>67</v>
      </c>
      <c r="I137" s="48" t="s">
        <v>31</v>
      </c>
      <c r="J137" s="59" t="s">
        <v>32</v>
      </c>
      <c r="K137" s="74" t="s">
        <v>33</v>
      </c>
      <c r="L137" s="52" t="s">
        <v>222</v>
      </c>
      <c r="M137" s="1" t="s">
        <v>50</v>
      </c>
      <c r="N137" s="1" t="s">
        <v>61</v>
      </c>
      <c r="O137" s="1" t="s">
        <v>52</v>
      </c>
      <c r="P137" s="85" t="s">
        <v>744</v>
      </c>
      <c r="Q137" s="86" t="s">
        <v>745</v>
      </c>
      <c r="R137" s="86" t="s">
        <v>40</v>
      </c>
      <c r="S137" s="86" t="s">
        <v>746</v>
      </c>
      <c r="T137" s="61" t="s">
        <v>53</v>
      </c>
      <c r="U137" s="1" t="s">
        <v>747</v>
      </c>
      <c r="V137" s="1" t="s">
        <v>89</v>
      </c>
      <c r="Z137" s="45">
        <v>43070.0</v>
      </c>
    </row>
    <row r="138">
      <c r="A138" s="32" t="s">
        <v>748</v>
      </c>
      <c r="B138" s="1" t="s">
        <v>749</v>
      </c>
      <c r="C138" s="33">
        <v>10237.5</v>
      </c>
      <c r="D138" s="34" t="str">
        <f>HYPERLINK("https://osu.ppy.sh/u/12032130","Sepid")</f>
        <v>Sepid</v>
      </c>
      <c r="E138" s="41" t="s">
        <v>28</v>
      </c>
      <c r="F138" s="58" t="s">
        <v>385</v>
      </c>
      <c r="G138" s="37" t="s">
        <v>29</v>
      </c>
      <c r="H138" s="37" t="s">
        <v>67</v>
      </c>
      <c r="I138" s="66" t="s">
        <v>31</v>
      </c>
      <c r="J138" s="59" t="s">
        <v>32</v>
      </c>
      <c r="K138" s="39">
        <v>1000.0</v>
      </c>
      <c r="L138" s="55" t="s">
        <v>386</v>
      </c>
      <c r="M138" s="40" t="s">
        <v>199</v>
      </c>
      <c r="O138" s="35" t="s">
        <v>201</v>
      </c>
      <c r="P138" s="72">
        <v>103.0</v>
      </c>
      <c r="Q138" s="73">
        <v>136.0</v>
      </c>
      <c r="R138" s="73">
        <v>72.0</v>
      </c>
      <c r="S138" s="73">
        <v>41.0</v>
      </c>
      <c r="T138" s="44" t="s">
        <v>42</v>
      </c>
      <c r="U138" s="55" t="s">
        <v>750</v>
      </c>
      <c r="V138" s="1" t="s">
        <v>751</v>
      </c>
      <c r="Z138" s="45">
        <v>44166.0</v>
      </c>
    </row>
    <row r="139" ht="3.75" customHeight="1">
      <c r="A139" s="32" t="s">
        <v>752</v>
      </c>
      <c r="B139" s="41" t="s">
        <v>753</v>
      </c>
      <c r="C139" s="46">
        <v>10228.8</v>
      </c>
      <c r="D139" s="62" t="str">
        <f>HYPERLINK("https://osu.ppy.sh/u/4334976","Aeril")</f>
        <v>Aeril</v>
      </c>
      <c r="E139" s="61" t="s">
        <v>28</v>
      </c>
      <c r="F139" s="63">
        <v>1300.0</v>
      </c>
      <c r="G139" s="66" t="s">
        <v>29</v>
      </c>
      <c r="H139" s="66" t="s">
        <v>67</v>
      </c>
      <c r="I139" s="66" t="s">
        <v>754</v>
      </c>
      <c r="J139" s="70" t="s">
        <v>32</v>
      </c>
      <c r="K139" s="82"/>
      <c r="L139" s="61" t="s">
        <v>755</v>
      </c>
      <c r="M139" s="35" t="s">
        <v>756</v>
      </c>
      <c r="N139" s="35" t="s">
        <v>174</v>
      </c>
      <c r="O139" s="35" t="s">
        <v>757</v>
      </c>
      <c r="P139" s="79"/>
      <c r="Q139" s="80"/>
      <c r="R139" s="80"/>
      <c r="S139" s="80"/>
      <c r="T139" s="69"/>
      <c r="U139" s="35" t="s">
        <v>369</v>
      </c>
      <c r="V139" s="35" t="s">
        <v>74</v>
      </c>
    </row>
    <row r="140" ht="3.0" customHeight="1">
      <c r="A140" s="32" t="s">
        <v>178</v>
      </c>
      <c r="B140" s="41" t="s">
        <v>758</v>
      </c>
      <c r="C140" s="46">
        <v>10199.9</v>
      </c>
      <c r="D140" s="83" t="str">
        <f>HYPERLINK("https://osu.ppy.sh/u/4098646","[Lunatic Bell]")</f>
        <v>[Lunatic Bell]</v>
      </c>
      <c r="E140" s="41" t="s">
        <v>28</v>
      </c>
      <c r="F140" s="63">
        <v>1000.0</v>
      </c>
      <c r="G140" s="65" t="s">
        <v>29</v>
      </c>
      <c r="H140" s="65" t="s">
        <v>67</v>
      </c>
      <c r="I140" s="65" t="s">
        <v>267</v>
      </c>
      <c r="J140" s="89" t="s">
        <v>192</v>
      </c>
      <c r="K140" s="39">
        <v>1000.0</v>
      </c>
      <c r="L140" s="52" t="s">
        <v>257</v>
      </c>
      <c r="M140" s="41" t="s">
        <v>356</v>
      </c>
      <c r="N140" s="41" t="s">
        <v>357</v>
      </c>
      <c r="O140" s="35" t="s">
        <v>278</v>
      </c>
      <c r="P140" s="72">
        <v>90.0</v>
      </c>
      <c r="Q140" s="73">
        <v>115.0</v>
      </c>
      <c r="R140" s="73">
        <v>63.0</v>
      </c>
      <c r="S140" s="73">
        <v>38.0</v>
      </c>
      <c r="T140" s="61" t="s">
        <v>42</v>
      </c>
      <c r="U140" s="41" t="s">
        <v>759</v>
      </c>
      <c r="V140" s="41" t="s">
        <v>89</v>
      </c>
      <c r="Z140" s="45">
        <v>42826.0</v>
      </c>
    </row>
    <row r="141">
      <c r="A141" s="32" t="s">
        <v>760</v>
      </c>
      <c r="B141" s="1" t="s">
        <v>761</v>
      </c>
      <c r="C141" s="33">
        <v>10198.2</v>
      </c>
      <c r="D141" s="34" t="str">
        <f>HYPERLINK("https://osu.ppy.sh/u/7432074","Arue")</f>
        <v>Arue</v>
      </c>
      <c r="E141" s="55" t="s">
        <v>28</v>
      </c>
      <c r="F141" s="58">
        <v>1440.0</v>
      </c>
      <c r="G141" s="48" t="s">
        <v>29</v>
      </c>
      <c r="H141" s="48" t="s">
        <v>67</v>
      </c>
      <c r="I141" s="48" t="s">
        <v>31</v>
      </c>
      <c r="J141" s="59" t="s">
        <v>32</v>
      </c>
      <c r="K141" s="74">
        <v>1000.0</v>
      </c>
      <c r="L141" s="55" t="s">
        <v>114</v>
      </c>
      <c r="M141" s="40" t="s">
        <v>199</v>
      </c>
      <c r="N141" s="118" t="s">
        <v>295</v>
      </c>
      <c r="O141" s="35" t="s">
        <v>201</v>
      </c>
      <c r="P141" s="72">
        <v>103.0</v>
      </c>
      <c r="Q141" s="73">
        <v>136.0</v>
      </c>
      <c r="R141" s="73">
        <v>72.0</v>
      </c>
      <c r="S141" s="73">
        <v>41.0</v>
      </c>
      <c r="T141" s="61" t="s">
        <v>42</v>
      </c>
      <c r="U141" s="55" t="s">
        <v>333</v>
      </c>
      <c r="V141" s="1" t="s">
        <v>203</v>
      </c>
      <c r="Z141" s="45">
        <v>43101.0</v>
      </c>
    </row>
    <row r="142">
      <c r="A142" s="32" t="s">
        <v>182</v>
      </c>
      <c r="B142" s="41" t="s">
        <v>762</v>
      </c>
      <c r="C142" s="46">
        <v>10178.6</v>
      </c>
      <c r="D142" s="62" t="str">
        <f>HYPERLINK("https://osu.ppy.sh/u/844815","AmaiHachimitsu")</f>
        <v>AmaiHachimitsu</v>
      </c>
      <c r="E142" s="35" t="s">
        <v>28</v>
      </c>
      <c r="F142" s="119"/>
      <c r="G142" s="66" t="s">
        <v>29</v>
      </c>
      <c r="H142" s="65"/>
      <c r="I142" s="65"/>
      <c r="J142" s="70" t="s">
        <v>32</v>
      </c>
      <c r="K142" s="39" t="s">
        <v>33</v>
      </c>
      <c r="L142" s="52" t="s">
        <v>545</v>
      </c>
      <c r="M142" s="41" t="s">
        <v>374</v>
      </c>
      <c r="N142" s="41" t="s">
        <v>763</v>
      </c>
      <c r="O142" s="41" t="s">
        <v>764</v>
      </c>
      <c r="P142" s="72">
        <v>90.0</v>
      </c>
      <c r="Q142" s="73" t="s">
        <v>765</v>
      </c>
      <c r="R142" s="73">
        <v>63.7</v>
      </c>
      <c r="S142" s="73" t="s">
        <v>41</v>
      </c>
      <c r="T142" s="61" t="s">
        <v>42</v>
      </c>
      <c r="U142" s="35" t="s">
        <v>766</v>
      </c>
      <c r="V142" s="41" t="s">
        <v>767</v>
      </c>
      <c r="Z142" s="120"/>
    </row>
    <row r="143">
      <c r="A143" s="81" t="s">
        <v>768</v>
      </c>
      <c r="B143" s="41" t="s">
        <v>769</v>
      </c>
      <c r="C143" s="46">
        <v>10172.3</v>
      </c>
      <c r="D143" s="62" t="str">
        <f>HYPERLINK("https://osu.ppy.sh/u/2932923","harunaruna")</f>
        <v>harunaruna</v>
      </c>
      <c r="E143" s="61" t="s">
        <v>28</v>
      </c>
      <c r="F143" s="63">
        <v>800.0</v>
      </c>
      <c r="G143" s="66" t="s">
        <v>29</v>
      </c>
      <c r="H143" s="66" t="s">
        <v>770</v>
      </c>
      <c r="I143" s="66" t="s">
        <v>267</v>
      </c>
      <c r="J143" s="70" t="s">
        <v>32</v>
      </c>
      <c r="K143" s="71">
        <v>1000.0</v>
      </c>
      <c r="L143" s="61" t="s">
        <v>129</v>
      </c>
      <c r="M143" s="35" t="s">
        <v>396</v>
      </c>
      <c r="N143" s="35" t="s">
        <v>92</v>
      </c>
      <c r="O143" s="35" t="s">
        <v>52</v>
      </c>
      <c r="P143" s="72">
        <v>85.0</v>
      </c>
      <c r="Q143" s="73">
        <v>124.0</v>
      </c>
      <c r="R143" s="73">
        <v>58.0</v>
      </c>
      <c r="S143" s="73">
        <v>43.0</v>
      </c>
      <c r="T143" s="61" t="s">
        <v>42</v>
      </c>
      <c r="U143" s="35" t="s">
        <v>117</v>
      </c>
      <c r="V143" s="35" t="s">
        <v>89</v>
      </c>
    </row>
    <row r="144">
      <c r="A144" s="81" t="s">
        <v>771</v>
      </c>
      <c r="B144" s="41" t="s">
        <v>772</v>
      </c>
      <c r="C144" s="46">
        <v>10146.2</v>
      </c>
      <c r="D144" s="47" t="str">
        <f>HYPERLINK("https://osu.ppy.sh/u/6796557","Samoyed")</f>
        <v>Samoyed</v>
      </c>
      <c r="E144" s="52" t="s">
        <v>28</v>
      </c>
      <c r="F144" s="36" t="s">
        <v>105</v>
      </c>
      <c r="G144" s="48" t="s">
        <v>29</v>
      </c>
      <c r="H144" s="37" t="s">
        <v>578</v>
      </c>
      <c r="I144" s="48" t="s">
        <v>31</v>
      </c>
      <c r="J144" s="49"/>
      <c r="K144" s="39" t="s">
        <v>81</v>
      </c>
      <c r="L144" s="1" t="s">
        <v>417</v>
      </c>
      <c r="M144" s="40" t="s">
        <v>389</v>
      </c>
      <c r="N144" s="1" t="s">
        <v>773</v>
      </c>
      <c r="O144" s="35" t="s">
        <v>391</v>
      </c>
      <c r="P144" s="72">
        <v>103.0</v>
      </c>
      <c r="Q144" s="73">
        <v>136.0</v>
      </c>
      <c r="R144" s="73">
        <v>72.0</v>
      </c>
      <c r="S144" s="73">
        <v>41.0</v>
      </c>
      <c r="T144" s="61" t="s">
        <v>42</v>
      </c>
      <c r="U144" s="40" t="s">
        <v>409</v>
      </c>
      <c r="V144" s="40" t="s">
        <v>89</v>
      </c>
      <c r="Z144" s="45">
        <v>44166.0</v>
      </c>
    </row>
    <row r="145">
      <c r="A145" s="32" t="s">
        <v>774</v>
      </c>
      <c r="B145" s="1" t="s">
        <v>775</v>
      </c>
      <c r="C145" s="33">
        <v>10143.9</v>
      </c>
      <c r="D145" s="34" t="str">
        <f>HYPERLINK("https://osu.ppy.sh/u/8151359","DivineRose")</f>
        <v>DivineRose</v>
      </c>
      <c r="E145" s="52"/>
      <c r="F145" s="100"/>
      <c r="G145" s="101"/>
      <c r="H145" s="101"/>
      <c r="I145" s="101"/>
      <c r="J145" s="49"/>
      <c r="K145" s="82"/>
      <c r="L145" s="69"/>
      <c r="M145" s="69"/>
      <c r="N145" s="69"/>
      <c r="O145" s="69"/>
      <c r="P145" s="79"/>
      <c r="Q145" s="80"/>
      <c r="R145" s="80"/>
      <c r="S145" s="80"/>
      <c r="T145" s="69"/>
      <c r="U145" s="69"/>
      <c r="V145" s="69"/>
    </row>
    <row r="146">
      <c r="A146" s="32" t="s">
        <v>776</v>
      </c>
      <c r="B146" s="1" t="s">
        <v>777</v>
      </c>
      <c r="C146" s="33">
        <v>10132.1</v>
      </c>
      <c r="D146" s="34" t="str">
        <f>HYPERLINK("https://osu.ppy.sh/u/6735738","-Aleph")</f>
        <v>-Aleph</v>
      </c>
      <c r="E146" s="41"/>
      <c r="F146" s="53"/>
      <c r="G146" s="53"/>
      <c r="H146" s="53"/>
      <c r="I146" s="53"/>
      <c r="J146" s="54"/>
      <c r="K146" s="53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Z146" s="45"/>
      <c r="AA146" s="57"/>
    </row>
    <row r="147">
      <c r="A147" s="32" t="s">
        <v>190</v>
      </c>
      <c r="B147" s="41" t="s">
        <v>778</v>
      </c>
      <c r="C147" s="46">
        <v>10126.1</v>
      </c>
      <c r="D147" s="62" t="str">
        <f>HYPERLINK("https://osu.ppy.sh/u/1501956","Fuma")</f>
        <v>Fuma</v>
      </c>
      <c r="E147" s="40" t="s">
        <v>28</v>
      </c>
      <c r="F147" s="36" t="s">
        <v>779</v>
      </c>
      <c r="G147" s="37" t="s">
        <v>29</v>
      </c>
      <c r="H147" s="37" t="s">
        <v>67</v>
      </c>
      <c r="I147" s="48" t="s">
        <v>106</v>
      </c>
      <c r="J147" s="59" t="s">
        <v>32</v>
      </c>
      <c r="K147" s="39"/>
      <c r="L147" s="69"/>
      <c r="M147" s="40" t="s">
        <v>199</v>
      </c>
      <c r="N147" s="40" t="s">
        <v>780</v>
      </c>
      <c r="O147" s="69"/>
      <c r="P147" s="79"/>
      <c r="Q147" s="80"/>
      <c r="R147" s="80"/>
      <c r="S147" s="80"/>
      <c r="T147" s="57"/>
      <c r="U147" s="40" t="s">
        <v>62</v>
      </c>
      <c r="V147" s="40" t="s">
        <v>63</v>
      </c>
      <c r="Z147" s="45">
        <v>42736.0</v>
      </c>
    </row>
    <row r="148">
      <c r="A148" s="32" t="s">
        <v>781</v>
      </c>
      <c r="B148" s="41" t="s">
        <v>782</v>
      </c>
      <c r="C148" s="46">
        <v>10117.3</v>
      </c>
      <c r="D148" s="62" t="str">
        <f>HYPERLINK("https://osu.ppy.sh/u/2841744","Warrock")</f>
        <v>Warrock</v>
      </c>
      <c r="E148" s="35" t="s">
        <v>28</v>
      </c>
      <c r="F148" s="63">
        <v>1000.0</v>
      </c>
      <c r="G148" s="66" t="s">
        <v>29</v>
      </c>
      <c r="H148" s="66" t="s">
        <v>67</v>
      </c>
      <c r="I148" s="121" t="s">
        <v>31</v>
      </c>
      <c r="J148" s="70" t="s">
        <v>32</v>
      </c>
      <c r="K148" s="82"/>
      <c r="L148" s="61" t="s">
        <v>417</v>
      </c>
      <c r="M148" s="35" t="s">
        <v>238</v>
      </c>
      <c r="N148" s="35" t="s">
        <v>608</v>
      </c>
      <c r="O148" s="35" t="s">
        <v>70</v>
      </c>
      <c r="P148" s="72">
        <v>126.0</v>
      </c>
      <c r="Q148" s="73">
        <v>128.0</v>
      </c>
      <c r="R148" s="73">
        <v>76.0</v>
      </c>
      <c r="S148" s="73">
        <v>42.0</v>
      </c>
      <c r="T148" s="61" t="s">
        <v>479</v>
      </c>
      <c r="U148" s="35" t="s">
        <v>783</v>
      </c>
      <c r="V148" s="35" t="s">
        <v>89</v>
      </c>
    </row>
    <row r="149">
      <c r="A149" s="32" t="s">
        <v>784</v>
      </c>
      <c r="B149" s="41" t="s">
        <v>785</v>
      </c>
      <c r="C149" s="46">
        <v>10113.3</v>
      </c>
      <c r="D149" s="83" t="str">
        <f>HYPERLINK("https://osu.ppy.sh/u/6551312","kimchii42")</f>
        <v>kimchii42</v>
      </c>
      <c r="E149" s="52" t="s">
        <v>28</v>
      </c>
      <c r="F149" s="63">
        <v>800.0</v>
      </c>
      <c r="G149" s="65" t="s">
        <v>29</v>
      </c>
      <c r="H149" s="65" t="s">
        <v>67</v>
      </c>
      <c r="I149" s="65" t="s">
        <v>373</v>
      </c>
      <c r="J149" s="89" t="s">
        <v>32</v>
      </c>
      <c r="K149" s="39">
        <v>1000.0</v>
      </c>
      <c r="L149" s="52" t="s">
        <v>477</v>
      </c>
      <c r="M149" s="41" t="s">
        <v>100</v>
      </c>
      <c r="N149" s="41" t="s">
        <v>786</v>
      </c>
      <c r="O149" s="35" t="s">
        <v>101</v>
      </c>
      <c r="P149" s="72">
        <v>105.0</v>
      </c>
      <c r="Q149" s="73">
        <v>127.0</v>
      </c>
      <c r="R149" s="73">
        <v>70.0</v>
      </c>
      <c r="S149" s="73">
        <v>44.0</v>
      </c>
      <c r="T149" s="61" t="s">
        <v>42</v>
      </c>
      <c r="U149" s="41" t="s">
        <v>787</v>
      </c>
      <c r="V149" s="41" t="s">
        <v>788</v>
      </c>
      <c r="Z149" s="45">
        <v>42826.0</v>
      </c>
    </row>
    <row r="150">
      <c r="A150" s="32" t="s">
        <v>789</v>
      </c>
      <c r="B150" s="1" t="s">
        <v>790</v>
      </c>
      <c r="C150" s="33">
        <v>10112.3</v>
      </c>
      <c r="D150" s="34" t="str">
        <f>HYPERLINK("https://osu.ppy.sh/u/6431200","-AndzeN Desu-")</f>
        <v>-AndzeN Desu-</v>
      </c>
      <c r="E150" s="52" t="s">
        <v>28</v>
      </c>
      <c r="F150" s="58" t="s">
        <v>791</v>
      </c>
      <c r="G150" s="48" t="s">
        <v>29</v>
      </c>
      <c r="H150" s="48" t="s">
        <v>792</v>
      </c>
      <c r="I150" s="48" t="s">
        <v>373</v>
      </c>
      <c r="J150" s="59" t="s">
        <v>192</v>
      </c>
      <c r="K150" s="74" t="s">
        <v>33</v>
      </c>
      <c r="L150" s="40" t="s">
        <v>257</v>
      </c>
      <c r="M150" s="55" t="s">
        <v>793</v>
      </c>
      <c r="N150" s="1" t="s">
        <v>794</v>
      </c>
      <c r="O150" s="41" t="s">
        <v>496</v>
      </c>
      <c r="P150" s="48" t="s">
        <v>366</v>
      </c>
      <c r="Q150" s="48" t="s">
        <v>367</v>
      </c>
      <c r="R150" s="48" t="s">
        <v>347</v>
      </c>
      <c r="S150" s="48" t="s">
        <v>368</v>
      </c>
      <c r="T150" s="40" t="s">
        <v>42</v>
      </c>
      <c r="U150" s="1" t="s">
        <v>795</v>
      </c>
      <c r="V150" s="1" t="s">
        <v>74</v>
      </c>
      <c r="Z150" s="45"/>
    </row>
    <row r="151">
      <c r="A151" s="32" t="s">
        <v>796</v>
      </c>
      <c r="B151" s="41" t="s">
        <v>797</v>
      </c>
      <c r="C151" s="46">
        <v>10076.7</v>
      </c>
      <c r="D151" s="47" t="str">
        <f>HYPERLINK("https://osu.ppy.sh/u/5167164","Minecraft God")</f>
        <v>Minecraft God</v>
      </c>
      <c r="E151" s="52" t="s">
        <v>28</v>
      </c>
      <c r="F151" s="36" t="s">
        <v>732</v>
      </c>
      <c r="G151" s="37" t="s">
        <v>29</v>
      </c>
      <c r="H151" s="37" t="s">
        <v>403</v>
      </c>
      <c r="I151" s="37" t="s">
        <v>31</v>
      </c>
      <c r="J151" s="38" t="s">
        <v>32</v>
      </c>
      <c r="K151" s="39" t="s">
        <v>33</v>
      </c>
      <c r="L151" s="40" t="s">
        <v>99</v>
      </c>
      <c r="M151" s="40" t="s">
        <v>798</v>
      </c>
      <c r="N151" s="40" t="s">
        <v>799</v>
      </c>
      <c r="O151" s="1" t="s">
        <v>800</v>
      </c>
      <c r="P151" s="42" t="s">
        <v>801</v>
      </c>
      <c r="Q151" s="43" t="s">
        <v>802</v>
      </c>
      <c r="R151" s="43" t="s">
        <v>250</v>
      </c>
      <c r="S151" s="43" t="s">
        <v>368</v>
      </c>
      <c r="T151" s="48" t="s">
        <v>218</v>
      </c>
      <c r="U151" s="40" t="s">
        <v>803</v>
      </c>
      <c r="V151" s="40" t="s">
        <v>89</v>
      </c>
      <c r="Z151" s="45">
        <v>43282.0</v>
      </c>
    </row>
    <row r="152">
      <c r="A152" s="32" t="s">
        <v>804</v>
      </c>
      <c r="B152" s="41" t="s">
        <v>805</v>
      </c>
      <c r="C152" s="46">
        <v>10039.6</v>
      </c>
      <c r="D152" s="62" t="str">
        <f>HYPERLINK("https://osu.ppy.sh/u/343865","Gokuri")</f>
        <v>Gokuri</v>
      </c>
      <c r="E152" s="61" t="s">
        <v>28</v>
      </c>
      <c r="F152" s="63">
        <v>1000.0</v>
      </c>
      <c r="G152" s="66" t="s">
        <v>128</v>
      </c>
      <c r="H152" s="66" t="s">
        <v>806</v>
      </c>
      <c r="I152" s="66" t="s">
        <v>31</v>
      </c>
      <c r="J152" s="49"/>
      <c r="K152" s="71">
        <v>1000.0</v>
      </c>
      <c r="L152" s="40" t="s">
        <v>807</v>
      </c>
      <c r="M152" s="35" t="s">
        <v>808</v>
      </c>
      <c r="N152" s="35" t="s">
        <v>575</v>
      </c>
      <c r="O152" s="41" t="s">
        <v>809</v>
      </c>
      <c r="P152" s="42">
        <v>90.0</v>
      </c>
      <c r="Q152" s="43">
        <v>120.0</v>
      </c>
      <c r="R152" s="43">
        <v>65.0</v>
      </c>
      <c r="S152" s="43">
        <v>38.0</v>
      </c>
      <c r="T152" s="61" t="s">
        <v>42</v>
      </c>
      <c r="U152" s="35" t="s">
        <v>810</v>
      </c>
      <c r="V152" s="35" t="s">
        <v>63</v>
      </c>
      <c r="Z152" s="45">
        <v>42795.0</v>
      </c>
    </row>
    <row r="153">
      <c r="A153" s="32" t="s">
        <v>811</v>
      </c>
      <c r="B153" s="41" t="s">
        <v>812</v>
      </c>
      <c r="C153" s="46">
        <v>10017.3</v>
      </c>
      <c r="D153" s="84" t="str">
        <f>HYPERLINK("https://osu.ppy.sh/u/2523703","Feyyy")</f>
        <v>Feyyy</v>
      </c>
      <c r="E153" s="41" t="s">
        <v>28</v>
      </c>
      <c r="F153" s="63" t="s">
        <v>813</v>
      </c>
      <c r="G153" s="37" t="s">
        <v>29</v>
      </c>
      <c r="H153" s="37" t="s">
        <v>67</v>
      </c>
      <c r="I153" s="37" t="s">
        <v>98</v>
      </c>
      <c r="J153" s="38" t="s">
        <v>32</v>
      </c>
      <c r="K153" s="39" t="s">
        <v>33</v>
      </c>
      <c r="L153" s="40" t="s">
        <v>99</v>
      </c>
      <c r="M153" s="41" t="s">
        <v>130</v>
      </c>
      <c r="N153" s="40" t="s">
        <v>92</v>
      </c>
      <c r="O153" s="1" t="s">
        <v>70</v>
      </c>
      <c r="P153" s="72" t="s">
        <v>132</v>
      </c>
      <c r="Q153" s="73">
        <v>124.0</v>
      </c>
      <c r="R153" s="73">
        <v>68.0</v>
      </c>
      <c r="S153" s="73">
        <v>43.0</v>
      </c>
      <c r="T153" s="61" t="s">
        <v>42</v>
      </c>
      <c r="U153" s="41" t="s">
        <v>668</v>
      </c>
      <c r="V153" s="41" t="s">
        <v>44</v>
      </c>
      <c r="Z153" s="45">
        <v>43282.0</v>
      </c>
    </row>
    <row r="154">
      <c r="A154" s="32" t="s">
        <v>814</v>
      </c>
      <c r="B154" s="41" t="s">
        <v>815</v>
      </c>
      <c r="C154" s="46">
        <v>10004.0</v>
      </c>
      <c r="D154" s="47" t="str">
        <f>HYPERLINK("https://osu.ppy.sh/u/2184751","Maxe191")</f>
        <v>Maxe191</v>
      </c>
      <c r="E154" s="52" t="s">
        <v>28</v>
      </c>
      <c r="F154" s="36" t="s">
        <v>77</v>
      </c>
      <c r="G154" s="37" t="s">
        <v>29</v>
      </c>
      <c r="H154" s="37" t="s">
        <v>67</v>
      </c>
      <c r="I154" s="48" t="s">
        <v>31</v>
      </c>
      <c r="J154" s="38" t="s">
        <v>32</v>
      </c>
      <c r="K154" s="82"/>
      <c r="L154" s="69"/>
      <c r="M154" s="40" t="s">
        <v>612</v>
      </c>
      <c r="N154" s="40" t="s">
        <v>718</v>
      </c>
      <c r="O154" s="69"/>
      <c r="P154" s="79"/>
      <c r="Q154" s="80"/>
      <c r="R154" s="80"/>
      <c r="S154" s="80"/>
      <c r="T154" s="69"/>
      <c r="U154" s="40" t="s">
        <v>816</v>
      </c>
      <c r="V154" s="40" t="s">
        <v>817</v>
      </c>
    </row>
    <row r="155">
      <c r="A155" s="32" t="s">
        <v>818</v>
      </c>
      <c r="B155" s="1" t="s">
        <v>819</v>
      </c>
      <c r="C155" s="33">
        <v>9991.54</v>
      </c>
      <c r="D155" s="34" t="str">
        <f>HYPERLINK("https://osu.ppy.sh/u/11548479","ZestyTea")</f>
        <v>ZestyTea</v>
      </c>
      <c r="E155" s="35" t="s">
        <v>28</v>
      </c>
      <c r="F155" s="63">
        <v>800.0</v>
      </c>
      <c r="G155" s="66" t="s">
        <v>29</v>
      </c>
      <c r="H155" s="48" t="s">
        <v>820</v>
      </c>
      <c r="I155" s="48" t="s">
        <v>98</v>
      </c>
      <c r="J155" s="59" t="s">
        <v>32</v>
      </c>
      <c r="K155" s="48" t="s">
        <v>33</v>
      </c>
      <c r="L155" s="1" t="s">
        <v>318</v>
      </c>
      <c r="M155" s="55" t="s">
        <v>173</v>
      </c>
      <c r="N155" s="55" t="s">
        <v>116</v>
      </c>
      <c r="O155" s="1" t="s">
        <v>121</v>
      </c>
      <c r="P155" s="42" t="s">
        <v>84</v>
      </c>
      <c r="Q155" s="43" t="s">
        <v>175</v>
      </c>
      <c r="R155" s="43" t="s">
        <v>86</v>
      </c>
      <c r="S155" s="43" t="s">
        <v>41</v>
      </c>
      <c r="T155" s="61" t="s">
        <v>42</v>
      </c>
      <c r="U155" s="55" t="s">
        <v>683</v>
      </c>
      <c r="V155" s="55" t="s">
        <v>74</v>
      </c>
      <c r="Z155" s="45">
        <v>44136.0</v>
      </c>
      <c r="AA155" s="57"/>
    </row>
    <row r="156">
      <c r="A156" s="32" t="s">
        <v>821</v>
      </c>
      <c r="B156" s="41" t="s">
        <v>822</v>
      </c>
      <c r="C156" s="46">
        <v>9975.18</v>
      </c>
      <c r="D156" s="47" t="str">
        <f>HYPERLINK("https://osu.ppy.sh/u/7914929","EFFECTOW")</f>
        <v>EFFECTOW</v>
      </c>
      <c r="F156" s="53"/>
      <c r="G156" s="53"/>
      <c r="H156" s="53"/>
      <c r="I156" s="53"/>
      <c r="J156" s="54"/>
      <c r="K156" s="53"/>
      <c r="L156" s="56"/>
    </row>
    <row r="157">
      <c r="A157" s="32" t="s">
        <v>823</v>
      </c>
      <c r="B157" s="1" t="s">
        <v>824</v>
      </c>
      <c r="C157" s="33">
        <v>9959.41</v>
      </c>
      <c r="D157" s="34" t="str">
        <f>HYPERLINK("https://osu.ppy.sh/u/8816844","omphen")</f>
        <v>omphen</v>
      </c>
      <c r="E157" s="52" t="s">
        <v>28</v>
      </c>
      <c r="F157" s="58">
        <v>950.0</v>
      </c>
      <c r="G157" s="48" t="s">
        <v>29</v>
      </c>
      <c r="H157" s="48" t="s">
        <v>527</v>
      </c>
      <c r="I157" s="48" t="s">
        <v>31</v>
      </c>
      <c r="J157" s="59" t="s">
        <v>32</v>
      </c>
      <c r="K157" s="74" t="s">
        <v>81</v>
      </c>
      <c r="L157" s="1" t="s">
        <v>305</v>
      </c>
      <c r="M157" s="1" t="s">
        <v>238</v>
      </c>
      <c r="N157" s="1" t="s">
        <v>825</v>
      </c>
      <c r="O157" s="75" t="s">
        <v>70</v>
      </c>
      <c r="P157" s="72">
        <v>126.0</v>
      </c>
      <c r="Q157" s="73">
        <v>128.0</v>
      </c>
      <c r="R157" s="73">
        <v>76.0</v>
      </c>
      <c r="S157" s="73">
        <v>42.0</v>
      </c>
      <c r="T157" s="52" t="s">
        <v>42</v>
      </c>
      <c r="U157" s="1" t="s">
        <v>296</v>
      </c>
      <c r="V157" s="1" t="s">
        <v>94</v>
      </c>
      <c r="Z157" s="45">
        <v>43070.0</v>
      </c>
    </row>
    <row r="158">
      <c r="A158" s="32" t="s">
        <v>826</v>
      </c>
      <c r="B158" s="41" t="s">
        <v>827</v>
      </c>
      <c r="C158" s="46">
        <v>9947.34</v>
      </c>
      <c r="D158" s="62" t="str">
        <f>HYPERLINK("https://osu.ppy.sh/u/6862265","_Hornet")</f>
        <v>_Hornet</v>
      </c>
      <c r="E158" s="52"/>
      <c r="F158" s="109"/>
      <c r="G158" s="53"/>
      <c r="H158" s="53"/>
      <c r="I158" s="53"/>
      <c r="J158" s="54"/>
      <c r="K158" s="60"/>
      <c r="P158" s="91"/>
      <c r="Q158" s="92"/>
      <c r="R158" s="92"/>
      <c r="S158" s="92"/>
      <c r="Z158" s="45"/>
    </row>
    <row r="159">
      <c r="A159" s="32" t="s">
        <v>828</v>
      </c>
      <c r="B159" s="41" t="s">
        <v>829</v>
      </c>
      <c r="C159" s="46">
        <v>9911.92</v>
      </c>
      <c r="D159" s="47" t="str">
        <f>HYPERLINK("https://osu.ppy.sh/u/6096166","TheBlueEight")</f>
        <v>TheBlueEight</v>
      </c>
      <c r="E159" s="52" t="s">
        <v>28</v>
      </c>
      <c r="F159" s="36">
        <v>1000.0</v>
      </c>
      <c r="G159" s="37" t="s">
        <v>29</v>
      </c>
      <c r="H159" s="37" t="s">
        <v>67</v>
      </c>
      <c r="I159" s="37" t="s">
        <v>31</v>
      </c>
      <c r="J159" s="38" t="s">
        <v>32</v>
      </c>
      <c r="K159" s="39">
        <v>1000.0</v>
      </c>
      <c r="L159" s="69"/>
      <c r="M159" s="40" t="s">
        <v>830</v>
      </c>
      <c r="N159" s="40" t="s">
        <v>116</v>
      </c>
      <c r="O159" s="69"/>
      <c r="P159" s="79"/>
      <c r="Q159" s="80"/>
      <c r="R159" s="80"/>
      <c r="S159" s="80"/>
      <c r="T159" s="69"/>
      <c r="U159" s="40" t="s">
        <v>831</v>
      </c>
      <c r="V159" s="40" t="s">
        <v>74</v>
      </c>
    </row>
    <row r="160">
      <c r="A160" s="32" t="s">
        <v>832</v>
      </c>
      <c r="B160" s="41" t="s">
        <v>833</v>
      </c>
      <c r="C160" s="46">
        <v>9878.75</v>
      </c>
      <c r="D160" s="83" t="str">
        <f>HYPERLINK("https://osu.ppy.sh/u/4382220","wessel_osu2")</f>
        <v>wessel_osu2</v>
      </c>
      <c r="E160" s="41" t="s">
        <v>28</v>
      </c>
      <c r="F160" s="63">
        <v>1000.0</v>
      </c>
      <c r="G160" s="65" t="s">
        <v>29</v>
      </c>
      <c r="H160" s="65" t="s">
        <v>67</v>
      </c>
      <c r="I160" s="65" t="s">
        <v>31</v>
      </c>
      <c r="J160" s="89" t="s">
        <v>32</v>
      </c>
      <c r="K160" s="71">
        <v>1000.0</v>
      </c>
      <c r="L160" s="52" t="s">
        <v>417</v>
      </c>
      <c r="M160" s="41" t="s">
        <v>364</v>
      </c>
      <c r="N160" s="41" t="s">
        <v>179</v>
      </c>
      <c r="O160" s="41" t="s">
        <v>365</v>
      </c>
      <c r="P160" s="85" t="s">
        <v>366</v>
      </c>
      <c r="Q160" s="87" t="s">
        <v>367</v>
      </c>
      <c r="R160" s="87" t="s">
        <v>347</v>
      </c>
      <c r="S160" s="87" t="s">
        <v>368</v>
      </c>
      <c r="T160" s="61" t="s">
        <v>42</v>
      </c>
      <c r="U160" s="41" t="s">
        <v>834</v>
      </c>
      <c r="V160" s="41" t="s">
        <v>44</v>
      </c>
      <c r="Z160" s="45">
        <v>42948.0</v>
      </c>
    </row>
    <row r="161">
      <c r="A161" s="32" t="s">
        <v>835</v>
      </c>
      <c r="B161" s="102" t="s">
        <v>423</v>
      </c>
      <c r="C161" s="103">
        <v>9874.04</v>
      </c>
      <c r="D161" s="104" t="str">
        <f>HYPERLINK("https://osu.ppy.sh/u/1028387","Ritzeh")</f>
        <v>Ritzeh</v>
      </c>
      <c r="E161" s="61" t="s">
        <v>28</v>
      </c>
      <c r="F161" s="63">
        <v>400.0</v>
      </c>
      <c r="G161" s="66" t="s">
        <v>29</v>
      </c>
      <c r="H161" s="66" t="s">
        <v>67</v>
      </c>
      <c r="I161" s="66" t="s">
        <v>836</v>
      </c>
      <c r="J161" s="70" t="s">
        <v>32</v>
      </c>
      <c r="K161" s="71">
        <v>1000.0</v>
      </c>
      <c r="L161" s="61" t="s">
        <v>837</v>
      </c>
      <c r="M161" s="35" t="s">
        <v>50</v>
      </c>
      <c r="N161" s="35" t="s">
        <v>61</v>
      </c>
      <c r="O161" s="35" t="s">
        <v>52</v>
      </c>
      <c r="P161" s="50">
        <v>93.0</v>
      </c>
      <c r="Q161" s="51">
        <v>120.0</v>
      </c>
      <c r="R161" s="51">
        <v>64.0</v>
      </c>
      <c r="S161" s="51">
        <v>40.0</v>
      </c>
      <c r="T161" s="88" t="s">
        <v>53</v>
      </c>
      <c r="U161" s="52" t="s">
        <v>117</v>
      </c>
      <c r="V161" s="35" t="s">
        <v>74</v>
      </c>
      <c r="Z161" s="45">
        <v>42767.0</v>
      </c>
    </row>
    <row r="162">
      <c r="A162" s="32" t="s">
        <v>838</v>
      </c>
      <c r="B162" s="41" t="s">
        <v>839</v>
      </c>
      <c r="C162" s="46">
        <v>9870.84</v>
      </c>
      <c r="D162" s="47" t="str">
        <f>HYPERLINK("https://osu.ppy.sh/u/4253615","Tusk")</f>
        <v>Tusk</v>
      </c>
      <c r="E162" s="41" t="s">
        <v>28</v>
      </c>
      <c r="F162" s="63" t="s">
        <v>105</v>
      </c>
      <c r="G162" s="65" t="s">
        <v>29</v>
      </c>
      <c r="H162" s="65" t="s">
        <v>514</v>
      </c>
      <c r="I162" s="37" t="s">
        <v>31</v>
      </c>
      <c r="J162" s="89" t="s">
        <v>32</v>
      </c>
      <c r="K162" s="71">
        <v>500.0</v>
      </c>
      <c r="L162" s="52" t="s">
        <v>673</v>
      </c>
      <c r="M162" s="41" t="s">
        <v>214</v>
      </c>
      <c r="N162" s="41" t="s">
        <v>502</v>
      </c>
      <c r="O162" s="40" t="s">
        <v>215</v>
      </c>
      <c r="P162" s="42" t="s">
        <v>216</v>
      </c>
      <c r="Q162" s="43" t="s">
        <v>175</v>
      </c>
      <c r="R162" s="43" t="s">
        <v>72</v>
      </c>
      <c r="S162" s="43" t="s">
        <v>217</v>
      </c>
      <c r="T162" s="44" t="s">
        <v>218</v>
      </c>
      <c r="U162" s="41" t="s">
        <v>840</v>
      </c>
      <c r="V162" s="75"/>
      <c r="Z162" s="45">
        <v>44256.0</v>
      </c>
    </row>
    <row r="163">
      <c r="A163" s="32" t="s">
        <v>841</v>
      </c>
      <c r="B163" s="1" t="s">
        <v>842</v>
      </c>
      <c r="C163" s="33">
        <v>9864.44</v>
      </c>
      <c r="D163" s="34" t="str">
        <f>HYPERLINK("https://osu.ppy.sh/u/4347610","Boogiezi")</f>
        <v>Boogiezi</v>
      </c>
      <c r="E163" s="55" t="s">
        <v>571</v>
      </c>
      <c r="F163" s="109"/>
      <c r="G163" s="53"/>
      <c r="H163" s="53"/>
      <c r="I163" s="53"/>
      <c r="J163" s="54"/>
      <c r="K163" s="60"/>
      <c r="L163" s="53"/>
      <c r="P163" s="91"/>
      <c r="Q163" s="92"/>
      <c r="R163" s="93"/>
      <c r="S163" s="93"/>
      <c r="T163" s="53"/>
      <c r="U163" s="53"/>
    </row>
    <row r="164">
      <c r="A164" s="32" t="s">
        <v>843</v>
      </c>
      <c r="B164" s="1" t="s">
        <v>844</v>
      </c>
      <c r="C164" s="33">
        <v>9806.74</v>
      </c>
      <c r="D164" s="34" t="str">
        <f>HYPERLINK("https://osu.ppy.sh/u/8288987","Chachi")</f>
        <v>Chachi</v>
      </c>
      <c r="E164" s="52" t="s">
        <v>28</v>
      </c>
      <c r="F164" s="58" t="s">
        <v>171</v>
      </c>
      <c r="G164" s="48" t="s">
        <v>78</v>
      </c>
      <c r="H164" s="48" t="s">
        <v>527</v>
      </c>
      <c r="I164" s="48" t="s">
        <v>31</v>
      </c>
      <c r="J164" s="59" t="s">
        <v>845</v>
      </c>
      <c r="K164" s="39" t="s">
        <v>33</v>
      </c>
      <c r="L164" s="1"/>
      <c r="M164" s="1" t="s">
        <v>185</v>
      </c>
      <c r="N164" s="1" t="s">
        <v>846</v>
      </c>
      <c r="O164" s="40" t="s">
        <v>141</v>
      </c>
      <c r="P164" s="42" t="s">
        <v>187</v>
      </c>
      <c r="Q164" s="43" t="s">
        <v>39</v>
      </c>
      <c r="R164" s="43" t="s">
        <v>72</v>
      </c>
      <c r="S164" s="43" t="s">
        <v>41</v>
      </c>
      <c r="T164" s="40" t="s">
        <v>42</v>
      </c>
      <c r="U164" s="1" t="s">
        <v>289</v>
      </c>
      <c r="V164" s="1" t="s">
        <v>203</v>
      </c>
      <c r="Z164" s="45">
        <v>43831.0</v>
      </c>
    </row>
    <row r="165">
      <c r="A165" s="32" t="s">
        <v>847</v>
      </c>
      <c r="B165" s="122" t="s">
        <v>423</v>
      </c>
      <c r="C165" s="123">
        <v>9799.95</v>
      </c>
      <c r="D165" s="124" t="str">
        <f>HYPERLINK("https://osu.ppy.sh/u/8671182","yabai")</f>
        <v>yabai</v>
      </c>
      <c r="E165" s="52" t="s">
        <v>28</v>
      </c>
      <c r="F165" s="36" t="s">
        <v>105</v>
      </c>
      <c r="G165" s="37" t="s">
        <v>29</v>
      </c>
      <c r="H165" s="48" t="s">
        <v>67</v>
      </c>
      <c r="I165" s="48" t="s">
        <v>311</v>
      </c>
      <c r="J165" s="59" t="s">
        <v>32</v>
      </c>
      <c r="K165" s="53"/>
      <c r="L165" s="1" t="s">
        <v>848</v>
      </c>
      <c r="M165" s="55" t="s">
        <v>173</v>
      </c>
      <c r="N165" s="55" t="s">
        <v>849</v>
      </c>
      <c r="O165" s="1" t="s">
        <v>121</v>
      </c>
      <c r="P165" s="42" t="s">
        <v>84</v>
      </c>
      <c r="Q165" s="43" t="s">
        <v>175</v>
      </c>
      <c r="R165" s="43" t="s">
        <v>86</v>
      </c>
      <c r="S165" s="43" t="s">
        <v>41</v>
      </c>
      <c r="T165" s="61" t="s">
        <v>42</v>
      </c>
      <c r="U165" s="55" t="s">
        <v>850</v>
      </c>
      <c r="V165" s="35" t="s">
        <v>89</v>
      </c>
      <c r="Z165" s="45">
        <v>44044.0</v>
      </c>
      <c r="AA165" s="57"/>
    </row>
    <row r="166">
      <c r="A166" s="32" t="s">
        <v>851</v>
      </c>
      <c r="B166" s="102" t="s">
        <v>423</v>
      </c>
      <c r="C166" s="103">
        <v>9778.16</v>
      </c>
      <c r="D166" s="104" t="str">
        <f>HYPERLINK("https://osu.ppy.sh/u/2401317","Pumbossable")</f>
        <v>Pumbossable</v>
      </c>
      <c r="E166" s="35" t="s">
        <v>28</v>
      </c>
      <c r="F166" s="63">
        <v>1700.0</v>
      </c>
      <c r="G166" s="66" t="s">
        <v>29</v>
      </c>
      <c r="H166" s="66" t="s">
        <v>67</v>
      </c>
      <c r="I166" s="66" t="s">
        <v>754</v>
      </c>
      <c r="J166" s="70" t="s">
        <v>32</v>
      </c>
      <c r="K166" s="71">
        <v>1000.0</v>
      </c>
      <c r="L166" s="61" t="s">
        <v>230</v>
      </c>
      <c r="M166" s="35" t="s">
        <v>852</v>
      </c>
      <c r="N166" s="35" t="s">
        <v>853</v>
      </c>
      <c r="O166" s="35" t="s">
        <v>854</v>
      </c>
      <c r="P166" s="79"/>
      <c r="Q166" s="80"/>
      <c r="R166" s="80"/>
      <c r="S166" s="80"/>
      <c r="T166" s="69"/>
      <c r="U166" s="35" t="s">
        <v>855</v>
      </c>
      <c r="V166" s="35" t="s">
        <v>856</v>
      </c>
    </row>
    <row r="167">
      <c r="A167" s="32" t="s">
        <v>857</v>
      </c>
      <c r="B167" s="41" t="s">
        <v>858</v>
      </c>
      <c r="C167" s="46">
        <v>9776.34</v>
      </c>
      <c r="D167" s="84" t="str">
        <f>HYPERLINK("https://osu.ppy.sh/u/4990193","Dragonmob")</f>
        <v>Dragonmob</v>
      </c>
      <c r="E167" s="52" t="s">
        <v>28</v>
      </c>
      <c r="F167" s="63">
        <v>800.0</v>
      </c>
      <c r="G167" s="37" t="s">
        <v>29</v>
      </c>
      <c r="H167" s="37" t="s">
        <v>859</v>
      </c>
      <c r="I167" s="37" t="s">
        <v>31</v>
      </c>
      <c r="J167" s="38" t="s">
        <v>32</v>
      </c>
      <c r="K167" s="39">
        <v>1000.0</v>
      </c>
      <c r="L167" s="40" t="s">
        <v>379</v>
      </c>
      <c r="M167" s="41" t="s">
        <v>321</v>
      </c>
      <c r="N167" s="40" t="s">
        <v>860</v>
      </c>
      <c r="O167" s="41" t="s">
        <v>121</v>
      </c>
      <c r="P167" s="72" t="s">
        <v>84</v>
      </c>
      <c r="Q167" s="73" t="s">
        <v>175</v>
      </c>
      <c r="R167" s="73" t="s">
        <v>322</v>
      </c>
      <c r="S167" s="73" t="s">
        <v>323</v>
      </c>
      <c r="T167" s="61" t="s">
        <v>42</v>
      </c>
      <c r="U167" s="41" t="s">
        <v>102</v>
      </c>
      <c r="V167" s="41" t="s">
        <v>89</v>
      </c>
      <c r="Z167" s="45">
        <v>43313.0</v>
      </c>
    </row>
    <row r="168" ht="8.25" customHeight="1">
      <c r="A168" s="32" t="s">
        <v>861</v>
      </c>
      <c r="B168" s="41" t="s">
        <v>862</v>
      </c>
      <c r="C168" s="46">
        <v>9768.03</v>
      </c>
      <c r="D168" s="47" t="str">
        <f>HYPERLINK("https://osu.ppy.sh/u/3574127","Doginator")</f>
        <v>Doginator</v>
      </c>
      <c r="E168" s="52"/>
      <c r="F168" s="100"/>
      <c r="G168" s="101"/>
      <c r="H168" s="101"/>
      <c r="I168" s="101"/>
      <c r="J168" s="49"/>
      <c r="K168" s="82"/>
      <c r="L168" s="69"/>
      <c r="M168" s="69"/>
      <c r="N168" s="69"/>
      <c r="O168" s="69"/>
      <c r="P168" s="79"/>
      <c r="Q168" s="80"/>
      <c r="R168" s="80"/>
      <c r="S168" s="80"/>
      <c r="T168" s="69"/>
      <c r="U168" s="69"/>
      <c r="V168" s="69"/>
    </row>
    <row r="169">
      <c r="A169" s="32" t="s">
        <v>863</v>
      </c>
      <c r="B169" s="41" t="s">
        <v>864</v>
      </c>
      <c r="C169" s="46">
        <v>9715.1</v>
      </c>
      <c r="D169" s="47" t="str">
        <f>HYPERLINK("https://osu.ppy.sh/u/8549898","Jevex")</f>
        <v>Jevex</v>
      </c>
      <c r="E169" s="52" t="s">
        <v>28</v>
      </c>
      <c r="F169" s="36" t="s">
        <v>865</v>
      </c>
      <c r="G169" s="37" t="s">
        <v>29</v>
      </c>
      <c r="H169" s="37" t="s">
        <v>67</v>
      </c>
      <c r="I169" s="37" t="s">
        <v>31</v>
      </c>
      <c r="J169" s="38" t="s">
        <v>32</v>
      </c>
      <c r="K169" s="39" t="s">
        <v>33</v>
      </c>
      <c r="L169" s="40" t="s">
        <v>146</v>
      </c>
      <c r="M169" s="40" t="s">
        <v>130</v>
      </c>
      <c r="N169" s="40" t="s">
        <v>357</v>
      </c>
      <c r="O169" s="1" t="s">
        <v>70</v>
      </c>
      <c r="P169" s="72" t="s">
        <v>132</v>
      </c>
      <c r="Q169" s="73">
        <v>124.0</v>
      </c>
      <c r="R169" s="73">
        <v>68.0</v>
      </c>
      <c r="S169" s="73">
        <v>43.0</v>
      </c>
      <c r="T169" s="61" t="s">
        <v>42</v>
      </c>
      <c r="U169" s="40" t="s">
        <v>866</v>
      </c>
      <c r="V169" s="40" t="s">
        <v>89</v>
      </c>
      <c r="Z169" s="45">
        <v>43313.0</v>
      </c>
    </row>
    <row r="170" ht="8.25" customHeight="1">
      <c r="A170" s="32" t="s">
        <v>867</v>
      </c>
      <c r="B170" s="41" t="s">
        <v>868</v>
      </c>
      <c r="C170" s="46">
        <v>9708.29</v>
      </c>
      <c r="D170" s="83" t="str">
        <f>HYPERLINK("https://osu.ppy.sh/u/3272902","juliancala")</f>
        <v>juliancala</v>
      </c>
      <c r="E170" s="40" t="s">
        <v>28</v>
      </c>
      <c r="F170" s="36">
        <v>800.0</v>
      </c>
      <c r="G170" s="37" t="s">
        <v>29</v>
      </c>
      <c r="H170" s="37" t="s">
        <v>67</v>
      </c>
      <c r="I170" s="64" t="s">
        <v>106</v>
      </c>
      <c r="J170" s="38" t="s">
        <v>32</v>
      </c>
      <c r="K170" s="39">
        <v>1000.0</v>
      </c>
      <c r="L170" s="40" t="s">
        <v>107</v>
      </c>
      <c r="M170" s="40" t="s">
        <v>238</v>
      </c>
      <c r="N170" s="40" t="s">
        <v>174</v>
      </c>
      <c r="O170" s="35" t="s">
        <v>70</v>
      </c>
      <c r="P170" s="42">
        <v>126.0</v>
      </c>
      <c r="Q170" s="43">
        <v>128.0</v>
      </c>
      <c r="R170" s="43">
        <v>76.0</v>
      </c>
      <c r="S170" s="43">
        <v>42.0</v>
      </c>
      <c r="T170" s="61" t="s">
        <v>42</v>
      </c>
      <c r="U170" s="40" t="s">
        <v>869</v>
      </c>
      <c r="V170" s="40" t="s">
        <v>44</v>
      </c>
      <c r="Z170" s="45">
        <v>42887.0</v>
      </c>
    </row>
    <row r="171">
      <c r="A171" s="32" t="s">
        <v>870</v>
      </c>
      <c r="B171" s="41" t="s">
        <v>871</v>
      </c>
      <c r="C171" s="46">
        <v>9703.33</v>
      </c>
      <c r="D171" s="47" t="str">
        <f>HYPERLINK("https://osu.ppy.sh/u/5200499","ExImperia")</f>
        <v>ExImperia</v>
      </c>
      <c r="E171" s="52" t="s">
        <v>28</v>
      </c>
      <c r="F171" s="100"/>
      <c r="G171" s="101"/>
      <c r="H171" s="101"/>
      <c r="I171" s="101"/>
      <c r="J171" s="49"/>
      <c r="K171" s="82"/>
      <c r="L171" s="69"/>
      <c r="M171" s="69"/>
      <c r="N171" s="69"/>
      <c r="O171" s="69"/>
      <c r="P171" s="79"/>
      <c r="Q171" s="80"/>
      <c r="R171" s="80"/>
      <c r="S171" s="80"/>
      <c r="T171" s="69"/>
      <c r="U171" s="69"/>
      <c r="V171" s="69"/>
    </row>
    <row r="172">
      <c r="A172" s="32" t="s">
        <v>872</v>
      </c>
      <c r="B172" s="1" t="s">
        <v>873</v>
      </c>
      <c r="C172" s="33">
        <v>9699.05</v>
      </c>
      <c r="D172" s="34" t="str">
        <f>HYPERLINK("https://osu.ppy.sh/u/9212147","FroxXyyy")</f>
        <v>FroxXyyy</v>
      </c>
      <c r="E172" s="61" t="s">
        <v>28</v>
      </c>
      <c r="F172" s="58" t="s">
        <v>77</v>
      </c>
      <c r="G172" s="48" t="s">
        <v>29</v>
      </c>
      <c r="H172" s="48" t="s">
        <v>67</v>
      </c>
      <c r="I172" s="48" t="s">
        <v>98</v>
      </c>
      <c r="J172" s="59" t="s">
        <v>32</v>
      </c>
      <c r="K172" s="74" t="s">
        <v>33</v>
      </c>
      <c r="L172" s="1" t="s">
        <v>257</v>
      </c>
      <c r="M172" s="1" t="s">
        <v>108</v>
      </c>
      <c r="N172" s="1" t="s">
        <v>61</v>
      </c>
      <c r="O172" s="1" t="s">
        <v>109</v>
      </c>
      <c r="P172" s="85" t="s">
        <v>110</v>
      </c>
      <c r="Q172" s="86" t="s">
        <v>39</v>
      </c>
      <c r="R172" s="87" t="s">
        <v>72</v>
      </c>
      <c r="S172" s="87" t="s">
        <v>41</v>
      </c>
      <c r="T172" s="48" t="s">
        <v>42</v>
      </c>
      <c r="U172" s="1" t="s">
        <v>176</v>
      </c>
      <c r="V172" s="1" t="s">
        <v>74</v>
      </c>
      <c r="Z172" s="45">
        <v>43678.0</v>
      </c>
    </row>
    <row r="173">
      <c r="A173" s="32" t="s">
        <v>874</v>
      </c>
      <c r="B173" s="41" t="s">
        <v>875</v>
      </c>
      <c r="C173" s="46">
        <v>9698.15</v>
      </c>
      <c r="D173" s="47" t="str">
        <f>HYPERLINK("https://osu.ppy.sh/u/4372688","TableRaw")</f>
        <v>TableRaw</v>
      </c>
      <c r="E173" s="40" t="s">
        <v>28</v>
      </c>
      <c r="F173" s="48" t="s">
        <v>876</v>
      </c>
      <c r="G173" s="48" t="s">
        <v>877</v>
      </c>
      <c r="H173" s="48" t="s">
        <v>594</v>
      </c>
      <c r="I173" s="48" t="s">
        <v>336</v>
      </c>
      <c r="J173" s="59" t="s">
        <v>32</v>
      </c>
      <c r="K173" s="48" t="s">
        <v>33</v>
      </c>
      <c r="L173" s="1" t="s">
        <v>425</v>
      </c>
      <c r="M173" s="1" t="s">
        <v>238</v>
      </c>
      <c r="N173" s="1" t="s">
        <v>878</v>
      </c>
      <c r="O173" s="35" t="s">
        <v>70</v>
      </c>
      <c r="P173" s="72">
        <v>126.0</v>
      </c>
      <c r="Q173" s="73">
        <v>128.0</v>
      </c>
      <c r="R173" s="73">
        <v>76.0</v>
      </c>
      <c r="S173" s="73">
        <v>42.0</v>
      </c>
      <c r="T173" s="52" t="s">
        <v>42</v>
      </c>
      <c r="U173" s="1" t="s">
        <v>879</v>
      </c>
      <c r="V173" s="1" t="s">
        <v>880</v>
      </c>
      <c r="Z173" s="45">
        <v>43617.0</v>
      </c>
    </row>
    <row r="174">
      <c r="A174" s="32" t="s">
        <v>881</v>
      </c>
      <c r="B174" s="41" t="s">
        <v>882</v>
      </c>
      <c r="C174" s="46">
        <v>9693.73</v>
      </c>
      <c r="D174" s="47" t="str">
        <f>HYPERLINK("https://osu.ppy.sh/u/419954","Regou")</f>
        <v>Regou</v>
      </c>
      <c r="E174" s="52" t="s">
        <v>571</v>
      </c>
      <c r="F174" s="100"/>
      <c r="G174" s="101"/>
      <c r="H174" s="101"/>
      <c r="I174" s="101"/>
      <c r="J174" s="49"/>
      <c r="K174" s="82"/>
      <c r="L174" s="69"/>
      <c r="M174" s="69"/>
      <c r="N174" s="69"/>
      <c r="O174" s="69"/>
      <c r="P174" s="79"/>
      <c r="Q174" s="80"/>
      <c r="R174" s="80"/>
      <c r="S174" s="80"/>
      <c r="T174" s="69"/>
      <c r="U174" s="69"/>
      <c r="V174" s="69"/>
    </row>
    <row r="175">
      <c r="A175" s="32" t="s">
        <v>883</v>
      </c>
      <c r="B175" s="41" t="s">
        <v>884</v>
      </c>
      <c r="C175" s="46">
        <v>9691.65</v>
      </c>
      <c r="D175" s="47" t="str">
        <f>HYPERLINK("https://osu.ppy.sh/u/1429071","LolForest")</f>
        <v>LolForest</v>
      </c>
      <c r="E175" s="61" t="s">
        <v>28</v>
      </c>
      <c r="F175" s="58" t="s">
        <v>105</v>
      </c>
      <c r="G175" s="53"/>
      <c r="H175" s="53"/>
      <c r="I175" s="53"/>
      <c r="J175" s="54"/>
      <c r="K175" s="60"/>
      <c r="L175" s="53"/>
      <c r="M175" s="1" t="s">
        <v>185</v>
      </c>
      <c r="O175" s="40" t="s">
        <v>141</v>
      </c>
      <c r="P175" s="42" t="s">
        <v>187</v>
      </c>
      <c r="Q175" s="43" t="s">
        <v>39</v>
      </c>
      <c r="R175" s="43" t="s">
        <v>72</v>
      </c>
      <c r="S175" s="43" t="s">
        <v>41</v>
      </c>
      <c r="T175" s="40" t="s">
        <v>42</v>
      </c>
      <c r="U175" s="53"/>
    </row>
    <row r="176">
      <c r="A176" s="32" t="s">
        <v>885</v>
      </c>
      <c r="B176" s="1" t="s">
        <v>886</v>
      </c>
      <c r="C176" s="1">
        <v>9686.1</v>
      </c>
      <c r="D176" s="94" t="str">
        <f>HYPERLINK("https://osu.ppy.sh/u/10701418","itay")</f>
        <v>itay</v>
      </c>
    </row>
    <row r="177">
      <c r="A177" s="32" t="s">
        <v>887</v>
      </c>
      <c r="B177" s="1" t="s">
        <v>888</v>
      </c>
      <c r="C177" s="33">
        <v>9685.52</v>
      </c>
      <c r="D177" s="94" t="str">
        <f>HYPERLINK("https://osu.ppy.sh/u/6699829","Jona7117")</f>
        <v>Jona7117</v>
      </c>
      <c r="E177" s="1" t="s">
        <v>28</v>
      </c>
      <c r="F177" s="58" t="s">
        <v>889</v>
      </c>
      <c r="G177" s="48" t="s">
        <v>29</v>
      </c>
      <c r="H177" s="48" t="s">
        <v>890</v>
      </c>
      <c r="I177" s="48" t="s">
        <v>31</v>
      </c>
      <c r="J177" s="59" t="s">
        <v>32</v>
      </c>
      <c r="K177" s="74" t="s">
        <v>33</v>
      </c>
      <c r="L177" s="125" t="s">
        <v>891</v>
      </c>
      <c r="M177" s="1" t="s">
        <v>892</v>
      </c>
      <c r="N177" s="1" t="s">
        <v>893</v>
      </c>
      <c r="O177" s="41" t="s">
        <v>894</v>
      </c>
      <c r="P177" s="72" t="s">
        <v>895</v>
      </c>
      <c r="Q177" s="73" t="s">
        <v>367</v>
      </c>
      <c r="R177" s="73" t="s">
        <v>896</v>
      </c>
      <c r="S177" s="73" t="s">
        <v>41</v>
      </c>
      <c r="T177" s="52" t="s">
        <v>897</v>
      </c>
      <c r="U177" s="1" t="s">
        <v>898</v>
      </c>
      <c r="V177" s="1" t="s">
        <v>899</v>
      </c>
      <c r="Z177" s="45">
        <v>44228.0</v>
      </c>
    </row>
    <row r="178">
      <c r="A178" s="32" t="s">
        <v>900</v>
      </c>
      <c r="B178" s="41" t="s">
        <v>901</v>
      </c>
      <c r="C178" s="46">
        <v>9683.16</v>
      </c>
      <c r="D178" s="62" t="str">
        <f>HYPERLINK("https://osu.ppy.sh/u/1040250","[ Erina ]")</f>
        <v>[ Erina ]</v>
      </c>
      <c r="E178" s="61" t="s">
        <v>28</v>
      </c>
      <c r="F178" s="63">
        <v>450.0</v>
      </c>
      <c r="G178" s="66" t="s">
        <v>78</v>
      </c>
      <c r="H178" s="66" t="s">
        <v>67</v>
      </c>
      <c r="I178" s="66" t="s">
        <v>106</v>
      </c>
      <c r="J178" s="70" t="s">
        <v>192</v>
      </c>
      <c r="K178" s="71">
        <v>1000.0</v>
      </c>
      <c r="L178" s="61" t="s">
        <v>678</v>
      </c>
      <c r="M178" s="35" t="s">
        <v>902</v>
      </c>
      <c r="N178" s="35" t="s">
        <v>174</v>
      </c>
      <c r="O178" s="35" t="s">
        <v>314</v>
      </c>
      <c r="P178" s="79"/>
      <c r="Q178" s="80"/>
      <c r="R178" s="80"/>
      <c r="S178" s="80"/>
      <c r="T178" s="57"/>
      <c r="U178" s="75" t="s">
        <v>903</v>
      </c>
      <c r="V178" s="75" t="s">
        <v>74</v>
      </c>
    </row>
    <row r="179">
      <c r="A179" s="32" t="s">
        <v>904</v>
      </c>
      <c r="B179" s="1" t="s">
        <v>905</v>
      </c>
      <c r="C179" s="33">
        <v>9683.09</v>
      </c>
      <c r="D179" s="34" t="str">
        <f>HYPERLINK("https://osu.ppy.sh/u/4333312","Legendz")</f>
        <v>Legendz</v>
      </c>
      <c r="E179" s="41" t="s">
        <v>28</v>
      </c>
      <c r="F179" s="48" t="s">
        <v>77</v>
      </c>
      <c r="G179" s="48" t="s">
        <v>29</v>
      </c>
      <c r="H179" s="48" t="s">
        <v>67</v>
      </c>
      <c r="I179" s="48" t="s">
        <v>31</v>
      </c>
      <c r="J179" s="59" t="s">
        <v>32</v>
      </c>
      <c r="K179" s="48" t="s">
        <v>33</v>
      </c>
      <c r="L179" s="1" t="s">
        <v>417</v>
      </c>
      <c r="M179" s="1" t="s">
        <v>100</v>
      </c>
      <c r="N179" s="1" t="s">
        <v>61</v>
      </c>
      <c r="O179" s="35" t="s">
        <v>101</v>
      </c>
      <c r="P179" s="72">
        <v>105.0</v>
      </c>
      <c r="Q179" s="73">
        <v>127.0</v>
      </c>
      <c r="R179" s="73">
        <v>70.0</v>
      </c>
      <c r="S179" s="73">
        <v>44.0</v>
      </c>
      <c r="T179" s="44" t="s">
        <v>42</v>
      </c>
      <c r="U179" s="1" t="s">
        <v>289</v>
      </c>
      <c r="V179" s="1" t="s">
        <v>74</v>
      </c>
      <c r="Z179" s="45">
        <v>43282.0</v>
      </c>
    </row>
    <row r="180" ht="12.75" customHeight="1">
      <c r="A180" s="32" t="s">
        <v>906</v>
      </c>
      <c r="B180" s="41" t="s">
        <v>907</v>
      </c>
      <c r="C180" s="46">
        <v>9675.73</v>
      </c>
      <c r="D180" s="62" t="str">
        <f>HYPERLINK("https://osu.ppy.sh/u/6255471","Pengrio")</f>
        <v>Pengrio</v>
      </c>
      <c r="E180" s="61" t="s">
        <v>28</v>
      </c>
      <c r="F180" s="63">
        <v>800.0</v>
      </c>
      <c r="G180" s="66" t="s">
        <v>29</v>
      </c>
      <c r="H180" s="65" t="s">
        <v>67</v>
      </c>
      <c r="I180" s="66" t="s">
        <v>31</v>
      </c>
      <c r="J180" s="70" t="s">
        <v>32</v>
      </c>
      <c r="K180" s="71">
        <v>500.0</v>
      </c>
      <c r="L180" s="52" t="s">
        <v>222</v>
      </c>
      <c r="M180" s="35" t="s">
        <v>908</v>
      </c>
      <c r="N180" s="75" t="s">
        <v>909</v>
      </c>
      <c r="O180" s="35" t="s">
        <v>910</v>
      </c>
      <c r="P180" s="79"/>
      <c r="Q180" s="80"/>
      <c r="R180" s="80"/>
      <c r="S180" s="80"/>
      <c r="T180" s="57"/>
      <c r="U180" s="41" t="s">
        <v>683</v>
      </c>
      <c r="V180" s="41" t="s">
        <v>89</v>
      </c>
      <c r="Z180" s="45">
        <v>43070.0</v>
      </c>
    </row>
    <row r="181">
      <c r="A181" s="32" t="s">
        <v>198</v>
      </c>
      <c r="B181" s="41" t="s">
        <v>911</v>
      </c>
      <c r="C181" s="46">
        <v>9670.97</v>
      </c>
      <c r="D181" s="62" t="str">
        <f>HYPERLINK("https://osu.ppy.sh/u/6159305","_Kuroni_")</f>
        <v>_Kuroni_</v>
      </c>
      <c r="E181" s="61" t="s">
        <v>28</v>
      </c>
      <c r="F181" s="48" t="s">
        <v>105</v>
      </c>
      <c r="G181" s="48" t="s">
        <v>29</v>
      </c>
      <c r="H181" s="48" t="s">
        <v>67</v>
      </c>
      <c r="I181" s="48" t="s">
        <v>31</v>
      </c>
      <c r="J181" s="59" t="s">
        <v>32</v>
      </c>
      <c r="K181" s="48" t="s">
        <v>33</v>
      </c>
      <c r="L181" s="1" t="s">
        <v>222</v>
      </c>
      <c r="M181" s="1" t="s">
        <v>288</v>
      </c>
      <c r="N181" s="1" t="s">
        <v>530</v>
      </c>
      <c r="O181" s="41" t="s">
        <v>109</v>
      </c>
      <c r="P181" s="42">
        <v>85.0</v>
      </c>
      <c r="Q181" s="43">
        <v>117.0</v>
      </c>
      <c r="R181" s="43">
        <v>62.0</v>
      </c>
      <c r="S181" s="43">
        <v>38.0</v>
      </c>
      <c r="T181" s="40" t="s">
        <v>42</v>
      </c>
      <c r="U181" s="1" t="s">
        <v>737</v>
      </c>
      <c r="V181" s="1" t="s">
        <v>89</v>
      </c>
      <c r="Z181" s="45">
        <v>43282.0</v>
      </c>
      <c r="AA181" s="57"/>
    </row>
    <row r="182" ht="12.75" customHeight="1">
      <c r="A182" s="32" t="s">
        <v>912</v>
      </c>
      <c r="B182" s="41" t="s">
        <v>913</v>
      </c>
      <c r="C182" s="46">
        <v>9666.87</v>
      </c>
      <c r="D182" s="62" t="str">
        <f>HYPERLINK("https://osu.ppy.sh/u/2553519","Camberos")</f>
        <v>Camberos</v>
      </c>
      <c r="E182" s="35" t="s">
        <v>28</v>
      </c>
      <c r="F182" s="63">
        <v>1000.0</v>
      </c>
      <c r="G182" s="66" t="s">
        <v>29</v>
      </c>
      <c r="H182" s="66" t="s">
        <v>914</v>
      </c>
      <c r="I182" s="66" t="s">
        <v>106</v>
      </c>
      <c r="J182" s="70" t="s">
        <v>32</v>
      </c>
      <c r="K182" s="82"/>
      <c r="L182" s="61" t="s">
        <v>915</v>
      </c>
      <c r="M182" s="35" t="s">
        <v>916</v>
      </c>
      <c r="N182" s="35" t="s">
        <v>917</v>
      </c>
      <c r="O182" s="69"/>
      <c r="P182" s="79"/>
      <c r="Q182" s="80"/>
      <c r="R182" s="80"/>
      <c r="S182" s="80"/>
      <c r="T182" s="57"/>
      <c r="U182" s="75" t="s">
        <v>918</v>
      </c>
      <c r="V182" s="75" t="s">
        <v>63</v>
      </c>
    </row>
    <row r="183">
      <c r="A183" s="32" t="s">
        <v>919</v>
      </c>
      <c r="B183" s="1" t="s">
        <v>920</v>
      </c>
      <c r="C183" s="33">
        <v>9657.63</v>
      </c>
      <c r="D183" s="34" t="str">
        <f>HYPERLINK("https://osu.ppy.sh/u/7714701","ItzGangsterHD")</f>
        <v>ItzGangsterHD</v>
      </c>
      <c r="E183" s="35" t="s">
        <v>28</v>
      </c>
      <c r="F183" s="63">
        <v>1000.0</v>
      </c>
      <c r="G183" s="66" t="s">
        <v>29</v>
      </c>
      <c r="H183" s="48" t="s">
        <v>921</v>
      </c>
      <c r="I183" s="48" t="s">
        <v>267</v>
      </c>
      <c r="J183" s="59" t="s">
        <v>32</v>
      </c>
      <c r="K183" s="48" t="s">
        <v>33</v>
      </c>
      <c r="L183" s="1" t="s">
        <v>263</v>
      </c>
      <c r="M183" s="40" t="s">
        <v>922</v>
      </c>
      <c r="N183" s="55" t="s">
        <v>923</v>
      </c>
      <c r="O183" s="35"/>
      <c r="P183" s="72"/>
      <c r="Q183" s="73"/>
      <c r="R183" s="73"/>
      <c r="S183" s="73"/>
      <c r="T183" s="61"/>
      <c r="U183" s="55" t="s">
        <v>924</v>
      </c>
      <c r="V183" s="55" t="s">
        <v>925</v>
      </c>
      <c r="Z183" s="45">
        <v>44287.0</v>
      </c>
      <c r="AA183" s="57"/>
    </row>
    <row r="184">
      <c r="A184" s="32" t="s">
        <v>926</v>
      </c>
      <c r="B184" s="41" t="s">
        <v>927</v>
      </c>
      <c r="C184" s="46">
        <v>9653.63</v>
      </c>
      <c r="D184" s="47" t="str">
        <f>HYPERLINK("https://osu.ppy.sh/u/3586792","Kix")</f>
        <v>Kix</v>
      </c>
      <c r="E184" s="52" t="s">
        <v>28</v>
      </c>
      <c r="F184" s="100"/>
      <c r="G184" s="101"/>
      <c r="H184" s="101"/>
      <c r="I184" s="101"/>
      <c r="J184" s="49"/>
      <c r="K184" s="82"/>
      <c r="L184" s="69"/>
      <c r="M184" s="69"/>
      <c r="N184" s="69"/>
      <c r="O184" s="69"/>
      <c r="P184" s="79"/>
      <c r="Q184" s="80"/>
      <c r="R184" s="80"/>
      <c r="S184" s="80"/>
      <c r="T184" s="69"/>
      <c r="U184" s="69"/>
      <c r="V184" s="69"/>
    </row>
    <row r="185">
      <c r="A185" s="32" t="s">
        <v>928</v>
      </c>
      <c r="B185" s="41" t="s">
        <v>929</v>
      </c>
      <c r="C185" s="46">
        <v>9625.5</v>
      </c>
      <c r="D185" s="84" t="str">
        <f>HYPERLINK("https://osu.ppy.sh/u/7350684","Lege")</f>
        <v>Lege</v>
      </c>
      <c r="E185" s="41" t="s">
        <v>28</v>
      </c>
      <c r="F185" s="126" t="s">
        <v>930</v>
      </c>
      <c r="G185" s="37" t="s">
        <v>29</v>
      </c>
      <c r="H185" s="37" t="s">
        <v>67</v>
      </c>
      <c r="I185" s="37" t="s">
        <v>31</v>
      </c>
      <c r="J185" s="38" t="s">
        <v>32</v>
      </c>
      <c r="K185" s="39">
        <v>500.0</v>
      </c>
      <c r="L185" s="40" t="s">
        <v>931</v>
      </c>
      <c r="M185" s="40" t="s">
        <v>199</v>
      </c>
      <c r="N185" s="40" t="s">
        <v>61</v>
      </c>
      <c r="O185" s="35" t="s">
        <v>201</v>
      </c>
      <c r="P185" s="72">
        <v>103.0</v>
      </c>
      <c r="Q185" s="73">
        <v>136.0</v>
      </c>
      <c r="R185" s="73">
        <v>72.0</v>
      </c>
      <c r="S185" s="73">
        <v>41.0</v>
      </c>
      <c r="T185" s="61" t="s">
        <v>42</v>
      </c>
      <c r="U185" s="40" t="s">
        <v>932</v>
      </c>
      <c r="V185" s="40" t="s">
        <v>89</v>
      </c>
      <c r="Z185" s="45">
        <v>42856.0</v>
      </c>
    </row>
    <row r="186">
      <c r="A186" s="32" t="s">
        <v>933</v>
      </c>
      <c r="B186" s="41" t="s">
        <v>934</v>
      </c>
      <c r="C186" s="46">
        <v>9618.42</v>
      </c>
      <c r="D186" s="47" t="str">
        <f>HYPERLINK("https://osu.ppy.sh/u/7403461","Chiroyu")</f>
        <v>Chiroyu</v>
      </c>
      <c r="E186" s="52" t="s">
        <v>28</v>
      </c>
      <c r="F186" s="36" t="s">
        <v>335</v>
      </c>
      <c r="G186" s="37" t="s">
        <v>29</v>
      </c>
      <c r="H186" s="37" t="s">
        <v>67</v>
      </c>
      <c r="I186" s="37" t="s">
        <v>31</v>
      </c>
      <c r="J186" s="49"/>
      <c r="K186" s="82"/>
      <c r="L186" s="40" t="s">
        <v>510</v>
      </c>
      <c r="M186" s="40" t="s">
        <v>935</v>
      </c>
      <c r="N186" s="40" t="s">
        <v>936</v>
      </c>
      <c r="O186" s="40" t="s">
        <v>709</v>
      </c>
      <c r="P186" s="42" t="s">
        <v>110</v>
      </c>
      <c r="Q186" s="43" t="s">
        <v>85</v>
      </c>
      <c r="R186" s="43" t="s">
        <v>458</v>
      </c>
      <c r="S186" s="43" t="s">
        <v>323</v>
      </c>
      <c r="T186" s="52" t="s">
        <v>42</v>
      </c>
      <c r="U186" s="40" t="s">
        <v>605</v>
      </c>
      <c r="V186" s="40" t="s">
        <v>74</v>
      </c>
      <c r="Z186" s="45">
        <v>43282.0</v>
      </c>
    </row>
    <row r="187">
      <c r="A187" s="32" t="s">
        <v>937</v>
      </c>
      <c r="B187" s="41" t="s">
        <v>938</v>
      </c>
      <c r="C187" s="46">
        <v>9596.76</v>
      </c>
      <c r="D187" s="84" t="str">
        <f>HYPERLINK("https://osu.ppy.sh/u/5978907","Ezipie")</f>
        <v>Ezipie</v>
      </c>
      <c r="E187" s="41" t="s">
        <v>28</v>
      </c>
      <c r="F187" s="63">
        <v>1500.0</v>
      </c>
      <c r="G187" s="37" t="s">
        <v>29</v>
      </c>
      <c r="H187" s="37" t="s">
        <v>67</v>
      </c>
      <c r="I187" s="37" t="s">
        <v>939</v>
      </c>
      <c r="J187" s="38" t="s">
        <v>192</v>
      </c>
      <c r="K187" s="39">
        <v>500.0</v>
      </c>
      <c r="L187" s="40" t="s">
        <v>207</v>
      </c>
      <c r="M187" s="41" t="s">
        <v>313</v>
      </c>
      <c r="N187" s="40" t="s">
        <v>92</v>
      </c>
      <c r="O187" s="35" t="s">
        <v>314</v>
      </c>
      <c r="P187" s="72">
        <v>80.0</v>
      </c>
      <c r="Q187" s="73">
        <v>117.0</v>
      </c>
      <c r="R187" s="73">
        <v>64.0</v>
      </c>
      <c r="S187" s="73">
        <v>38.0</v>
      </c>
      <c r="T187" s="61" t="s">
        <v>42</v>
      </c>
      <c r="U187" s="41" t="s">
        <v>940</v>
      </c>
      <c r="V187" s="41" t="s">
        <v>89</v>
      </c>
      <c r="Z187" s="45">
        <v>43009.0</v>
      </c>
    </row>
    <row r="188">
      <c r="A188" s="32" t="s">
        <v>941</v>
      </c>
      <c r="B188" s="1" t="s">
        <v>942</v>
      </c>
      <c r="C188" s="33">
        <v>9592.24</v>
      </c>
      <c r="D188" s="34" t="str">
        <f>HYPERLINK("https://osu.ppy.sh/u/11896500","Arkyon")</f>
        <v>Arkyon</v>
      </c>
      <c r="E188" s="52" t="s">
        <v>28</v>
      </c>
      <c r="F188" s="58" t="s">
        <v>77</v>
      </c>
      <c r="G188" s="48" t="s">
        <v>29</v>
      </c>
      <c r="H188" s="48" t="s">
        <v>67</v>
      </c>
      <c r="I188" s="48" t="s">
        <v>336</v>
      </c>
      <c r="J188" s="59" t="s">
        <v>32</v>
      </c>
      <c r="K188" s="74" t="s">
        <v>33</v>
      </c>
      <c r="L188" s="1" t="s">
        <v>510</v>
      </c>
      <c r="M188" s="1" t="s">
        <v>943</v>
      </c>
      <c r="N188" s="1" t="s">
        <v>179</v>
      </c>
      <c r="O188" s="40" t="s">
        <v>70</v>
      </c>
      <c r="P188" s="42" t="s">
        <v>71</v>
      </c>
      <c r="Q188" s="43" t="s">
        <v>39</v>
      </c>
      <c r="R188" s="43" t="s">
        <v>72</v>
      </c>
      <c r="S188" s="43" t="s">
        <v>41</v>
      </c>
      <c r="T188" s="61" t="s">
        <v>42</v>
      </c>
      <c r="U188" s="1" t="s">
        <v>944</v>
      </c>
      <c r="V188" s="1" t="s">
        <v>74</v>
      </c>
      <c r="Z188" s="45">
        <v>43891.0</v>
      </c>
    </row>
    <row r="189">
      <c r="A189" s="32" t="s">
        <v>945</v>
      </c>
      <c r="B189" s="41" t="s">
        <v>946</v>
      </c>
      <c r="C189" s="46">
        <v>9590.6</v>
      </c>
      <c r="D189" s="47" t="str">
        <f>HYPERLINK("https://osu.ppy.sh/u/11342166","BuffaloScar")</f>
        <v>BuffaloScar</v>
      </c>
      <c r="E189" s="61" t="s">
        <v>28</v>
      </c>
      <c r="F189" s="36" t="s">
        <v>47</v>
      </c>
      <c r="G189" s="37" t="s">
        <v>29</v>
      </c>
      <c r="H189" s="37" t="s">
        <v>820</v>
      </c>
      <c r="I189" s="37" t="s">
        <v>31</v>
      </c>
      <c r="J189" s="38" t="s">
        <v>32</v>
      </c>
      <c r="K189" s="39" t="s">
        <v>81</v>
      </c>
      <c r="L189" s="40" t="s">
        <v>947</v>
      </c>
      <c r="M189" s="40" t="s">
        <v>948</v>
      </c>
      <c r="N189" s="40" t="s">
        <v>696</v>
      </c>
      <c r="O189" s="1" t="s">
        <v>121</v>
      </c>
      <c r="P189" s="42" t="s">
        <v>84</v>
      </c>
      <c r="Q189" s="43" t="s">
        <v>175</v>
      </c>
      <c r="R189" s="43" t="s">
        <v>86</v>
      </c>
      <c r="S189" s="43" t="s">
        <v>41</v>
      </c>
      <c r="T189" s="61" t="s">
        <v>42</v>
      </c>
      <c r="U189" s="40" t="s">
        <v>949</v>
      </c>
      <c r="V189" s="40" t="s">
        <v>74</v>
      </c>
      <c r="Z189" s="45">
        <v>43739.0</v>
      </c>
    </row>
    <row r="190">
      <c r="A190" s="32" t="s">
        <v>950</v>
      </c>
      <c r="B190" s="1" t="s">
        <v>951</v>
      </c>
      <c r="C190" s="33">
        <v>9589.38</v>
      </c>
      <c r="D190" s="34" t="str">
        <f>HYPERLINK("https://osu.ppy.sh/u/4426728","-Dreamless")</f>
        <v>-Dreamless</v>
      </c>
      <c r="E190" s="41" t="s">
        <v>28</v>
      </c>
      <c r="F190" s="58" t="s">
        <v>952</v>
      </c>
      <c r="G190" s="48" t="s">
        <v>29</v>
      </c>
      <c r="H190" s="48" t="s">
        <v>67</v>
      </c>
      <c r="I190" s="48" t="s">
        <v>404</v>
      </c>
      <c r="J190" s="59" t="s">
        <v>32</v>
      </c>
      <c r="K190" s="48" t="s">
        <v>33</v>
      </c>
      <c r="L190" s="1" t="s">
        <v>953</v>
      </c>
      <c r="M190" s="1" t="s">
        <v>954</v>
      </c>
      <c r="N190" s="1" t="s">
        <v>179</v>
      </c>
      <c r="O190" s="55" t="s">
        <v>701</v>
      </c>
      <c r="P190" s="42">
        <v>69.0</v>
      </c>
      <c r="Q190" s="43">
        <v>127.0</v>
      </c>
      <c r="R190" s="43">
        <v>58.0</v>
      </c>
      <c r="S190" s="43">
        <v>38.0</v>
      </c>
      <c r="T190" s="52" t="s">
        <v>153</v>
      </c>
      <c r="U190" s="1" t="s">
        <v>955</v>
      </c>
      <c r="V190" s="1" t="s">
        <v>89</v>
      </c>
      <c r="Z190" s="45">
        <v>44197.0</v>
      </c>
    </row>
    <row r="191">
      <c r="A191" s="32" t="s">
        <v>956</v>
      </c>
      <c r="B191" s="1" t="s">
        <v>957</v>
      </c>
      <c r="C191" s="33">
        <v>9587.21</v>
      </c>
      <c r="D191" s="34" t="str">
        <f>HYPERLINK("https://osu.ppy.sh/u/6764293","Frostwizard")</f>
        <v>Frostwizard</v>
      </c>
      <c r="E191" s="61"/>
      <c r="F191" s="58"/>
      <c r="G191" s="48"/>
      <c r="H191" s="48"/>
      <c r="I191" s="48"/>
      <c r="J191" s="59"/>
      <c r="K191" s="60"/>
      <c r="L191" s="1"/>
      <c r="M191" s="1"/>
      <c r="N191" s="1"/>
      <c r="O191" s="57"/>
      <c r="P191" s="79"/>
      <c r="Q191" s="80"/>
      <c r="R191" s="80"/>
      <c r="S191" s="80"/>
      <c r="T191" s="57"/>
      <c r="U191" s="1"/>
      <c r="V191" s="1"/>
      <c r="Z191" s="45"/>
    </row>
    <row r="192">
      <c r="A192" s="32" t="s">
        <v>958</v>
      </c>
      <c r="B192" s="41" t="s">
        <v>959</v>
      </c>
      <c r="C192" s="46">
        <v>9542.9</v>
      </c>
      <c r="D192" s="47" t="str">
        <f>HYPERLINK("https://osu.ppy.sh/u/5407620","k_1tty")</f>
        <v>k_1tty</v>
      </c>
      <c r="E192" s="52" t="s">
        <v>28</v>
      </c>
      <c r="F192" s="100"/>
      <c r="G192" s="101"/>
      <c r="H192" s="101"/>
      <c r="I192" s="101"/>
      <c r="J192" s="49"/>
      <c r="K192" s="82"/>
      <c r="L192" s="69"/>
      <c r="M192" s="69"/>
      <c r="N192" s="69"/>
      <c r="O192" s="69"/>
      <c r="P192" s="79"/>
      <c r="Q192" s="80"/>
      <c r="R192" s="80"/>
      <c r="S192" s="80"/>
      <c r="T192" s="69"/>
      <c r="U192" s="69"/>
      <c r="V192" s="69"/>
    </row>
    <row r="193">
      <c r="A193" s="32" t="s">
        <v>960</v>
      </c>
      <c r="B193" s="41" t="s">
        <v>961</v>
      </c>
      <c r="C193" s="46">
        <v>9540.05</v>
      </c>
      <c r="D193" s="62" t="str">
        <f>HYPERLINK("https://osu.ppy.sh/u/2225267","COOKIEZECKY")</f>
        <v>COOKIEZECKY</v>
      </c>
      <c r="E193" s="35" t="s">
        <v>28</v>
      </c>
      <c r="F193" s="63">
        <v>800.0</v>
      </c>
      <c r="G193" s="66" t="s">
        <v>29</v>
      </c>
      <c r="H193" s="66" t="s">
        <v>67</v>
      </c>
      <c r="I193" s="66" t="s">
        <v>267</v>
      </c>
      <c r="J193" s="70" t="s">
        <v>32</v>
      </c>
      <c r="K193" s="71">
        <v>1000.0</v>
      </c>
      <c r="L193" s="61" t="s">
        <v>129</v>
      </c>
      <c r="M193" s="35" t="s">
        <v>962</v>
      </c>
      <c r="N193" s="35" t="s">
        <v>61</v>
      </c>
      <c r="O193" s="35" t="s">
        <v>524</v>
      </c>
      <c r="P193" s="72">
        <v>90.0</v>
      </c>
      <c r="Q193" s="73">
        <v>128.0</v>
      </c>
      <c r="R193" s="73">
        <v>67.0</v>
      </c>
      <c r="S193" s="73">
        <v>37.0</v>
      </c>
      <c r="T193" s="44" t="s">
        <v>53</v>
      </c>
      <c r="U193" s="75" t="s">
        <v>117</v>
      </c>
      <c r="V193" s="75" t="s">
        <v>89</v>
      </c>
      <c r="Z193" s="45">
        <v>42736.0</v>
      </c>
    </row>
    <row r="194">
      <c r="A194" s="32" t="s">
        <v>205</v>
      </c>
      <c r="B194" s="41" t="s">
        <v>963</v>
      </c>
      <c r="C194" s="46">
        <v>9512.56</v>
      </c>
      <c r="D194" s="47" t="str">
        <f>HYPERLINK("https://osu.ppy.sh/u/8002409","Pioter00000")</f>
        <v>Pioter00000</v>
      </c>
      <c r="E194" s="52" t="s">
        <v>320</v>
      </c>
      <c r="F194" s="36">
        <v>1100.0</v>
      </c>
      <c r="G194" s="37" t="s">
        <v>29</v>
      </c>
      <c r="H194" s="37" t="s">
        <v>67</v>
      </c>
      <c r="I194" s="37" t="s">
        <v>31</v>
      </c>
      <c r="J194" s="38" t="s">
        <v>192</v>
      </c>
      <c r="K194" s="39" t="s">
        <v>33</v>
      </c>
      <c r="L194" s="40" t="s">
        <v>964</v>
      </c>
      <c r="M194" s="40" t="s">
        <v>798</v>
      </c>
      <c r="N194" s="40" t="s">
        <v>965</v>
      </c>
      <c r="O194" s="1" t="s">
        <v>800</v>
      </c>
      <c r="P194" s="42" t="s">
        <v>801</v>
      </c>
      <c r="Q194" s="43" t="s">
        <v>802</v>
      </c>
      <c r="R194" s="43" t="s">
        <v>250</v>
      </c>
      <c r="S194" s="43" t="s">
        <v>368</v>
      </c>
      <c r="T194" s="48" t="s">
        <v>218</v>
      </c>
      <c r="U194" s="40" t="s">
        <v>966</v>
      </c>
      <c r="V194" s="1" t="s">
        <v>967</v>
      </c>
      <c r="Z194" s="45">
        <v>43983.0</v>
      </c>
    </row>
    <row r="195">
      <c r="A195" s="32" t="s">
        <v>968</v>
      </c>
      <c r="B195" s="1" t="s">
        <v>969</v>
      </c>
      <c r="C195" s="33">
        <v>9496.92</v>
      </c>
      <c r="D195" s="34" t="str">
        <f>HYPERLINK("https://osu.ppy.sh/u/8850293","Glock")</f>
        <v>Glock</v>
      </c>
      <c r="E195" s="35" t="s">
        <v>28</v>
      </c>
      <c r="F195" s="48" t="s">
        <v>303</v>
      </c>
      <c r="G195" s="48" t="s">
        <v>29</v>
      </c>
      <c r="H195" s="48" t="s">
        <v>970</v>
      </c>
      <c r="I195" s="48" t="s">
        <v>31</v>
      </c>
      <c r="J195" s="59" t="s">
        <v>32</v>
      </c>
      <c r="K195" s="48" t="s">
        <v>33</v>
      </c>
      <c r="L195" s="1" t="s">
        <v>755</v>
      </c>
      <c r="M195" s="55" t="s">
        <v>971</v>
      </c>
      <c r="N195" s="55" t="s">
        <v>972</v>
      </c>
      <c r="O195" s="41" t="s">
        <v>365</v>
      </c>
      <c r="P195" s="85" t="s">
        <v>366</v>
      </c>
      <c r="Q195" s="87" t="s">
        <v>367</v>
      </c>
      <c r="R195" s="87" t="s">
        <v>347</v>
      </c>
      <c r="S195" s="87" t="s">
        <v>368</v>
      </c>
      <c r="T195" s="61" t="s">
        <v>42</v>
      </c>
      <c r="U195" s="55" t="s">
        <v>973</v>
      </c>
      <c r="V195" s="55" t="s">
        <v>74</v>
      </c>
      <c r="Z195" s="45">
        <v>44013.0</v>
      </c>
      <c r="AA195" s="57"/>
    </row>
    <row r="196">
      <c r="A196" s="32" t="s">
        <v>974</v>
      </c>
      <c r="B196" s="1" t="s">
        <v>975</v>
      </c>
      <c r="C196" s="33">
        <v>9486.5</v>
      </c>
      <c r="D196" s="34" t="str">
        <f>HYPERLINK("https://osu.ppy.sh/u/3751116","Div")</f>
        <v>Div</v>
      </c>
      <c r="E196" s="41" t="s">
        <v>28</v>
      </c>
      <c r="F196" s="58" t="s">
        <v>876</v>
      </c>
      <c r="G196" s="53"/>
      <c r="H196" s="48" t="s">
        <v>67</v>
      </c>
      <c r="I196" s="53"/>
      <c r="J196" s="54"/>
      <c r="K196" s="60"/>
      <c r="M196" s="127" t="s">
        <v>976</v>
      </c>
      <c r="P196" s="91"/>
      <c r="Q196" s="92"/>
      <c r="R196" s="92"/>
      <c r="S196" s="92"/>
      <c r="U196" s="1" t="s">
        <v>977</v>
      </c>
      <c r="V196" s="1" t="s">
        <v>44</v>
      </c>
      <c r="Z196" s="45"/>
    </row>
    <row r="197">
      <c r="A197" s="32" t="s">
        <v>978</v>
      </c>
      <c r="B197" s="122" t="s">
        <v>423</v>
      </c>
      <c r="C197" s="123">
        <v>9467.94</v>
      </c>
      <c r="D197" s="124" t="str">
        <f>HYPERLINK("https://osu.ppy.sh/u/11627254","jozif")</f>
        <v>jozif</v>
      </c>
      <c r="E197" s="41" t="s">
        <v>28</v>
      </c>
      <c r="F197" s="48" t="s">
        <v>105</v>
      </c>
      <c r="G197" s="48" t="s">
        <v>29</v>
      </c>
      <c r="H197" s="48" t="s">
        <v>67</v>
      </c>
      <c r="I197" s="48" t="s">
        <v>31</v>
      </c>
      <c r="J197" s="59" t="s">
        <v>32</v>
      </c>
      <c r="K197" s="48" t="s">
        <v>33</v>
      </c>
      <c r="L197" s="44" t="s">
        <v>222</v>
      </c>
      <c r="M197" s="40" t="s">
        <v>130</v>
      </c>
      <c r="N197" s="1" t="s">
        <v>61</v>
      </c>
      <c r="O197" s="1" t="s">
        <v>70</v>
      </c>
      <c r="P197" s="72" t="s">
        <v>132</v>
      </c>
      <c r="Q197" s="73">
        <v>124.0</v>
      </c>
      <c r="R197" s="73">
        <v>68.0</v>
      </c>
      <c r="S197" s="73">
        <v>43.0</v>
      </c>
      <c r="T197" s="61" t="s">
        <v>42</v>
      </c>
      <c r="U197" s="1" t="s">
        <v>176</v>
      </c>
      <c r="V197" s="1" t="s">
        <v>74</v>
      </c>
      <c r="Z197" s="45">
        <v>43891.0</v>
      </c>
      <c r="AA197" s="57"/>
    </row>
    <row r="198">
      <c r="A198" s="32" t="s">
        <v>979</v>
      </c>
      <c r="B198" s="1" t="s">
        <v>980</v>
      </c>
      <c r="C198" s="33">
        <v>9463.31</v>
      </c>
      <c r="D198" s="94" t="str">
        <f>HYPERLINK("https://osu.ppy.sh/u/2565831","-Cento")</f>
        <v>-Cento</v>
      </c>
      <c r="E198" s="41" t="s">
        <v>28</v>
      </c>
      <c r="F198" s="58" t="s">
        <v>77</v>
      </c>
      <c r="G198" s="48" t="s">
        <v>29</v>
      </c>
      <c r="H198" s="48" t="s">
        <v>67</v>
      </c>
      <c r="I198" s="48" t="s">
        <v>31</v>
      </c>
      <c r="J198" s="59" t="s">
        <v>32</v>
      </c>
      <c r="K198" s="74" t="s">
        <v>33</v>
      </c>
      <c r="M198" s="1" t="s">
        <v>981</v>
      </c>
      <c r="N198" s="1" t="s">
        <v>696</v>
      </c>
      <c r="O198" s="1" t="s">
        <v>121</v>
      </c>
      <c r="P198" s="91"/>
      <c r="Q198" s="92"/>
      <c r="R198" s="92"/>
      <c r="S198" s="92"/>
      <c r="U198" s="1" t="s">
        <v>982</v>
      </c>
      <c r="V198" s="1" t="s">
        <v>89</v>
      </c>
      <c r="Z198" s="45"/>
    </row>
    <row r="199">
      <c r="A199" s="32" t="s">
        <v>983</v>
      </c>
      <c r="B199" s="41" t="s">
        <v>984</v>
      </c>
      <c r="C199" s="46">
        <v>9459.03</v>
      </c>
      <c r="D199" s="62" t="str">
        <f>HYPERLINK("https://osu.ppy.sh/u/7844575","KupcaH")</f>
        <v>KupcaH</v>
      </c>
      <c r="E199" s="35" t="s">
        <v>28</v>
      </c>
      <c r="F199" s="63">
        <v>500.0</v>
      </c>
      <c r="G199" s="128"/>
      <c r="H199" s="37" t="s">
        <v>67</v>
      </c>
      <c r="I199" s="64" t="s">
        <v>106</v>
      </c>
      <c r="J199" s="129"/>
      <c r="K199" s="82"/>
      <c r="L199" s="44" t="s">
        <v>985</v>
      </c>
      <c r="M199" s="75" t="s">
        <v>986</v>
      </c>
      <c r="N199" s="57"/>
      <c r="O199" s="75" t="s">
        <v>987</v>
      </c>
      <c r="P199" s="79"/>
      <c r="Q199" s="80"/>
      <c r="R199" s="80"/>
      <c r="S199" s="80"/>
      <c r="T199" s="57"/>
      <c r="U199" s="57"/>
      <c r="V199" s="75" t="s">
        <v>63</v>
      </c>
    </row>
    <row r="200">
      <c r="A200" s="32" t="s">
        <v>988</v>
      </c>
      <c r="B200" s="1" t="s">
        <v>989</v>
      </c>
      <c r="C200" s="33">
        <v>9453.76</v>
      </c>
      <c r="D200" s="34" t="str">
        <f>HYPERLINK("https://osu.ppy.sh/u/11186709","Rijrya")</f>
        <v>Rijrya</v>
      </c>
      <c r="E200" s="52" t="s">
        <v>28</v>
      </c>
      <c r="F200" s="36" t="s">
        <v>105</v>
      </c>
      <c r="G200" s="37" t="s">
        <v>29</v>
      </c>
      <c r="H200" s="37" t="s">
        <v>67</v>
      </c>
      <c r="I200" s="101"/>
      <c r="J200" s="38" t="s">
        <v>32</v>
      </c>
      <c r="K200" s="39" t="s">
        <v>33</v>
      </c>
      <c r="L200" s="69"/>
      <c r="M200" s="40" t="s">
        <v>990</v>
      </c>
      <c r="N200" s="40" t="s">
        <v>991</v>
      </c>
      <c r="O200" s="69"/>
      <c r="P200" s="79"/>
      <c r="Q200" s="80"/>
      <c r="R200" s="80"/>
      <c r="S200" s="80"/>
      <c r="T200" s="69"/>
      <c r="U200" s="40" t="s">
        <v>992</v>
      </c>
      <c r="V200" s="40" t="s">
        <v>63</v>
      </c>
      <c r="Z200" s="45">
        <v>43800.0</v>
      </c>
    </row>
    <row r="201" ht="9.0" customHeight="1">
      <c r="A201" s="32" t="s">
        <v>211</v>
      </c>
      <c r="B201" s="1" t="s">
        <v>993</v>
      </c>
      <c r="C201" s="33">
        <v>9451.69</v>
      </c>
      <c r="D201" s="34" t="str">
        <f>HYPERLINK("https://osu.ppy.sh/u/4117912","Raiin")</f>
        <v>Raiin</v>
      </c>
      <c r="E201" s="52" t="s">
        <v>28</v>
      </c>
      <c r="F201" s="58" t="s">
        <v>105</v>
      </c>
      <c r="G201" s="48" t="s">
        <v>29</v>
      </c>
      <c r="H201" s="48" t="s">
        <v>67</v>
      </c>
      <c r="I201" s="48" t="s">
        <v>31</v>
      </c>
      <c r="J201" s="59" t="s">
        <v>32</v>
      </c>
      <c r="K201" s="74" t="s">
        <v>81</v>
      </c>
      <c r="L201" s="1" t="s">
        <v>222</v>
      </c>
      <c r="M201" s="1" t="s">
        <v>994</v>
      </c>
      <c r="N201" s="1" t="s">
        <v>995</v>
      </c>
      <c r="P201" s="72"/>
      <c r="Q201" s="73"/>
      <c r="R201" s="73"/>
      <c r="S201" s="73"/>
      <c r="T201" s="61"/>
      <c r="U201" s="1" t="s">
        <v>252</v>
      </c>
      <c r="V201" s="1" t="s">
        <v>74</v>
      </c>
      <c r="Z201" s="45">
        <v>43556.0</v>
      </c>
    </row>
    <row r="202" ht="1.5" customHeight="1">
      <c r="A202" s="32" t="s">
        <v>996</v>
      </c>
      <c r="B202" s="1" t="s">
        <v>997</v>
      </c>
      <c r="C202" s="33">
        <v>9415.85</v>
      </c>
      <c r="D202" s="34" t="str">
        <f>HYPERLINK("https://osu.ppy.sh/u/9531903","FrenZ396")</f>
        <v>FrenZ396</v>
      </c>
      <c r="E202" s="41"/>
      <c r="F202" s="53"/>
      <c r="G202" s="53"/>
      <c r="H202" s="53"/>
      <c r="I202" s="53"/>
      <c r="J202" s="54"/>
      <c r="K202" s="53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Z202" s="45"/>
      <c r="AA202" s="57"/>
    </row>
    <row r="203" ht="7.5" customHeight="1">
      <c r="A203" s="32" t="s">
        <v>998</v>
      </c>
      <c r="B203" s="1" t="s">
        <v>999</v>
      </c>
      <c r="C203" s="33">
        <v>9409.22</v>
      </c>
      <c r="D203" s="34" t="str">
        <f>HYPERLINK("https://osu.ppy.sh/u/6063342","Lotragon")</f>
        <v>Lotragon</v>
      </c>
      <c r="E203" s="55" t="s">
        <v>28</v>
      </c>
      <c r="F203" s="58">
        <v>800.0</v>
      </c>
      <c r="G203" s="48" t="s">
        <v>29</v>
      </c>
      <c r="H203" s="48" t="s">
        <v>67</v>
      </c>
      <c r="I203" s="48" t="s">
        <v>31</v>
      </c>
      <c r="J203" s="59" t="s">
        <v>32</v>
      </c>
      <c r="K203" s="74">
        <v>1000.0</v>
      </c>
      <c r="L203" s="61" t="s">
        <v>222</v>
      </c>
      <c r="M203" s="1" t="s">
        <v>962</v>
      </c>
      <c r="N203" s="1" t="s">
        <v>61</v>
      </c>
      <c r="O203" s="35" t="s">
        <v>524</v>
      </c>
      <c r="P203" s="72">
        <v>90.0</v>
      </c>
      <c r="Q203" s="73">
        <v>128.0</v>
      </c>
      <c r="R203" s="73">
        <v>67.0</v>
      </c>
      <c r="S203" s="73">
        <v>37.0</v>
      </c>
      <c r="T203" s="61" t="s">
        <v>42</v>
      </c>
      <c r="U203" s="55" t="s">
        <v>176</v>
      </c>
      <c r="V203" s="1" t="s">
        <v>74</v>
      </c>
      <c r="Z203" s="45">
        <v>43221.0</v>
      </c>
    </row>
    <row r="204" ht="15.0" customHeight="1">
      <c r="A204" s="32" t="s">
        <v>1000</v>
      </c>
      <c r="B204" s="1" t="s">
        <v>1001</v>
      </c>
      <c r="C204" s="33">
        <v>9407.62</v>
      </c>
      <c r="D204" s="34" t="str">
        <f>HYPERLINK("https://osu.ppy.sh/u/7910282","ddm")</f>
        <v>ddm</v>
      </c>
      <c r="E204" s="55" t="s">
        <v>28</v>
      </c>
      <c r="F204" s="58" t="s">
        <v>1002</v>
      </c>
      <c r="G204" s="48" t="s">
        <v>29</v>
      </c>
      <c r="H204" s="48" t="s">
        <v>67</v>
      </c>
      <c r="I204" s="48" t="s">
        <v>31</v>
      </c>
      <c r="J204" s="59" t="s">
        <v>192</v>
      </c>
      <c r="K204" s="74" t="s">
        <v>81</v>
      </c>
      <c r="L204" s="55" t="s">
        <v>312</v>
      </c>
      <c r="M204" s="1" t="s">
        <v>389</v>
      </c>
      <c r="N204" s="1" t="s">
        <v>174</v>
      </c>
      <c r="O204" s="35" t="s">
        <v>391</v>
      </c>
      <c r="P204" s="72">
        <v>103.0</v>
      </c>
      <c r="Q204" s="73">
        <v>136.0</v>
      </c>
      <c r="R204" s="73">
        <v>72.0</v>
      </c>
      <c r="S204" s="73">
        <v>41.0</v>
      </c>
      <c r="T204" s="61" t="s">
        <v>42</v>
      </c>
      <c r="U204" s="55" t="s">
        <v>389</v>
      </c>
      <c r="V204" s="1" t="s">
        <v>63</v>
      </c>
      <c r="Z204" s="45">
        <v>43282.0</v>
      </c>
    </row>
    <row r="205">
      <c r="A205" s="32" t="s">
        <v>1003</v>
      </c>
      <c r="B205" s="1" t="s">
        <v>1004</v>
      </c>
      <c r="C205" s="33">
        <v>9394.68</v>
      </c>
      <c r="D205" s="34" t="str">
        <f>HYPERLINK("https://osu.ppy.sh/u/7516954","ZephyrCo")</f>
        <v>ZephyrCo</v>
      </c>
      <c r="E205" s="55" t="s">
        <v>28</v>
      </c>
      <c r="F205" s="48" t="s">
        <v>47</v>
      </c>
      <c r="G205" s="48" t="s">
        <v>29</v>
      </c>
      <c r="H205" s="48" t="s">
        <v>1005</v>
      </c>
      <c r="I205" s="48" t="s">
        <v>31</v>
      </c>
      <c r="J205" s="59" t="s">
        <v>32</v>
      </c>
      <c r="K205" s="48" t="s">
        <v>33</v>
      </c>
      <c r="L205" s="1" t="s">
        <v>540</v>
      </c>
      <c r="M205" s="55" t="s">
        <v>380</v>
      </c>
      <c r="N205" s="56"/>
      <c r="O205" s="1" t="s">
        <v>141</v>
      </c>
      <c r="P205" s="42">
        <v>126.0</v>
      </c>
      <c r="Q205" s="43">
        <v>128.0</v>
      </c>
      <c r="R205" s="43">
        <v>76.0</v>
      </c>
      <c r="S205" s="43">
        <v>42.0</v>
      </c>
      <c r="T205" s="61" t="s">
        <v>42</v>
      </c>
      <c r="U205" s="55" t="s">
        <v>93</v>
      </c>
      <c r="V205" s="55" t="s">
        <v>89</v>
      </c>
      <c r="Z205" s="45">
        <v>44044.0</v>
      </c>
      <c r="AA205" s="57"/>
    </row>
    <row r="206">
      <c r="A206" s="32" t="s">
        <v>1006</v>
      </c>
      <c r="B206" s="1" t="s">
        <v>1007</v>
      </c>
      <c r="C206" s="33">
        <v>9386.84</v>
      </c>
      <c r="D206" s="34" t="str">
        <f>HYPERLINK("https://osu.ppy.sh/u/7081160","over_loadcode")</f>
        <v>over_loadcode</v>
      </c>
      <c r="E206" s="52" t="s">
        <v>28</v>
      </c>
      <c r="F206" s="48" t="s">
        <v>791</v>
      </c>
      <c r="G206" s="37" t="s">
        <v>29</v>
      </c>
      <c r="H206" s="48" t="s">
        <v>1008</v>
      </c>
      <c r="I206" s="48" t="s">
        <v>98</v>
      </c>
      <c r="J206" s="59" t="s">
        <v>32</v>
      </c>
      <c r="K206" s="48" t="s">
        <v>81</v>
      </c>
      <c r="L206" s="1" t="s">
        <v>138</v>
      </c>
      <c r="M206" s="55" t="s">
        <v>1009</v>
      </c>
      <c r="N206" s="56"/>
      <c r="O206" s="55" t="s">
        <v>1010</v>
      </c>
      <c r="P206" s="48" t="s">
        <v>166</v>
      </c>
      <c r="Q206" s="48" t="s">
        <v>1011</v>
      </c>
      <c r="R206" s="48" t="s">
        <v>1012</v>
      </c>
      <c r="S206" s="48" t="s">
        <v>87</v>
      </c>
      <c r="T206" s="40" t="s">
        <v>42</v>
      </c>
      <c r="U206" s="55" t="s">
        <v>463</v>
      </c>
      <c r="V206" s="55" t="s">
        <v>63</v>
      </c>
      <c r="Z206" s="45">
        <v>44105.0</v>
      </c>
      <c r="AA206" s="57"/>
    </row>
    <row r="207">
      <c r="A207" s="32" t="s">
        <v>1013</v>
      </c>
      <c r="B207" s="1" t="s">
        <v>1014</v>
      </c>
      <c r="C207" s="33">
        <v>9382.75</v>
      </c>
      <c r="D207" s="34" t="str">
        <f>HYPERLINK("https://osu.ppy.sh/u/7052349","[ Senji ]")</f>
        <v>[ Senji ]</v>
      </c>
      <c r="E207" s="52" t="s">
        <v>571</v>
      </c>
      <c r="F207" s="58" t="s">
        <v>47</v>
      </c>
      <c r="G207" s="48" t="s">
        <v>29</v>
      </c>
      <c r="H207" s="48" t="s">
        <v>723</v>
      </c>
      <c r="I207" s="37" t="s">
        <v>31</v>
      </c>
      <c r="J207" s="54"/>
      <c r="K207" s="60"/>
      <c r="L207" s="1" t="s">
        <v>1015</v>
      </c>
      <c r="M207" s="41" t="s">
        <v>139</v>
      </c>
      <c r="N207" s="1" t="s">
        <v>148</v>
      </c>
      <c r="O207" s="40" t="s">
        <v>141</v>
      </c>
      <c r="P207" s="42" t="s">
        <v>71</v>
      </c>
      <c r="Q207" s="43" t="s">
        <v>39</v>
      </c>
      <c r="R207" s="43" t="s">
        <v>72</v>
      </c>
      <c r="S207" s="43" t="s">
        <v>41</v>
      </c>
      <c r="T207" s="40" t="s">
        <v>42</v>
      </c>
      <c r="Z207" s="45">
        <v>43617.0</v>
      </c>
    </row>
    <row r="208">
      <c r="A208" s="32" t="s">
        <v>1016</v>
      </c>
      <c r="B208" s="41" t="s">
        <v>1017</v>
      </c>
      <c r="C208" s="46">
        <v>9381.32</v>
      </c>
      <c r="D208" s="62" t="str">
        <f>HYPERLINK("https://osu.ppy.sh/u/512319","KeigoClear")</f>
        <v>KeigoClear</v>
      </c>
      <c r="E208" s="61" t="s">
        <v>28</v>
      </c>
      <c r="F208" s="63">
        <v>3250.0</v>
      </c>
      <c r="G208" s="66" t="s">
        <v>1018</v>
      </c>
      <c r="H208" s="66" t="s">
        <v>403</v>
      </c>
      <c r="J208" s="70" t="s">
        <v>192</v>
      </c>
      <c r="K208" s="71">
        <v>1000.0</v>
      </c>
      <c r="L208" s="61" t="s">
        <v>484</v>
      </c>
      <c r="M208" s="35" t="s">
        <v>199</v>
      </c>
      <c r="N208" s="35" t="s">
        <v>1019</v>
      </c>
      <c r="O208" s="35" t="s">
        <v>201</v>
      </c>
      <c r="P208" s="72">
        <v>103.0</v>
      </c>
      <c r="Q208" s="73">
        <v>136.0</v>
      </c>
      <c r="R208" s="73">
        <v>72.0</v>
      </c>
      <c r="S208" s="73">
        <v>41.0</v>
      </c>
      <c r="T208" s="61" t="s">
        <v>42</v>
      </c>
      <c r="U208" s="35" t="s">
        <v>605</v>
      </c>
      <c r="V208" s="35" t="s">
        <v>74</v>
      </c>
    </row>
    <row r="209">
      <c r="A209" s="32" t="s">
        <v>1020</v>
      </c>
      <c r="B209" s="41" t="s">
        <v>1021</v>
      </c>
      <c r="C209" s="46">
        <v>9376.91</v>
      </c>
      <c r="D209" s="47" t="str">
        <f>HYPERLINK("https://osu.ppy.sh/u/2848604","toybot")</f>
        <v>toybot</v>
      </c>
      <c r="E209" s="1" t="s">
        <v>28</v>
      </c>
      <c r="F209" s="58" t="s">
        <v>865</v>
      </c>
      <c r="G209" s="48" t="s">
        <v>29</v>
      </c>
      <c r="H209" s="48" t="s">
        <v>67</v>
      </c>
      <c r="I209" s="48" t="s">
        <v>31</v>
      </c>
      <c r="J209" s="59" t="s">
        <v>32</v>
      </c>
      <c r="K209" s="74" t="s">
        <v>33</v>
      </c>
      <c r="L209" s="1" t="s">
        <v>146</v>
      </c>
      <c r="M209" s="1" t="s">
        <v>139</v>
      </c>
      <c r="N209" s="1" t="s">
        <v>174</v>
      </c>
      <c r="O209" s="40" t="s">
        <v>141</v>
      </c>
      <c r="P209" s="42" t="s">
        <v>71</v>
      </c>
      <c r="Q209" s="43" t="s">
        <v>39</v>
      </c>
      <c r="R209" s="43" t="s">
        <v>72</v>
      </c>
      <c r="S209" s="43" t="s">
        <v>41</v>
      </c>
      <c r="T209" s="40" t="s">
        <v>42</v>
      </c>
      <c r="U209" s="1" t="s">
        <v>1022</v>
      </c>
      <c r="V209" s="1" t="s">
        <v>89</v>
      </c>
      <c r="Z209" s="45">
        <v>43770.0</v>
      </c>
    </row>
    <row r="210">
      <c r="A210" s="32" t="s">
        <v>1023</v>
      </c>
      <c r="B210" s="41" t="s">
        <v>1024</v>
      </c>
      <c r="C210" s="46">
        <v>9365.99</v>
      </c>
      <c r="D210" s="83" t="str">
        <f>HYPERLINK("https://osu.ppy.sh/u/6621158","SolaEclipse")</f>
        <v>SolaEclipse</v>
      </c>
      <c r="E210" s="41" t="s">
        <v>571</v>
      </c>
      <c r="F210" s="63">
        <v>500.0</v>
      </c>
      <c r="G210" s="65"/>
      <c r="H210" s="65" t="s">
        <v>157</v>
      </c>
      <c r="I210" s="65" t="s">
        <v>31</v>
      </c>
      <c r="J210" s="89"/>
      <c r="K210" s="90"/>
      <c r="L210" s="52"/>
      <c r="M210" s="41" t="s">
        <v>1025</v>
      </c>
      <c r="N210" s="130" t="s">
        <v>1026</v>
      </c>
      <c r="O210" s="35"/>
      <c r="P210" s="50"/>
      <c r="Q210" s="51"/>
      <c r="R210" s="51"/>
      <c r="S210" s="51"/>
      <c r="T210" s="61"/>
      <c r="U210" s="35"/>
      <c r="V210" s="41"/>
      <c r="Z210" s="45"/>
    </row>
    <row r="211">
      <c r="A211" s="32" t="s">
        <v>1027</v>
      </c>
      <c r="B211" s="41" t="s">
        <v>1028</v>
      </c>
      <c r="C211" s="46">
        <v>9353.99</v>
      </c>
      <c r="D211" s="47" t="str">
        <f>HYPERLINK("https://osu.ppy.sh/u/7341086","Jalepers")</f>
        <v>Jalepers</v>
      </c>
      <c r="E211" s="52" t="s">
        <v>28</v>
      </c>
      <c r="F211" s="36" t="s">
        <v>303</v>
      </c>
      <c r="G211" s="37" t="s">
        <v>29</v>
      </c>
      <c r="H211" s="37" t="s">
        <v>67</v>
      </c>
      <c r="I211" s="37" t="s">
        <v>31</v>
      </c>
      <c r="J211" s="38" t="s">
        <v>32</v>
      </c>
      <c r="K211" s="39" t="s">
        <v>1029</v>
      </c>
      <c r="L211" s="52" t="s">
        <v>848</v>
      </c>
      <c r="M211" s="40" t="s">
        <v>115</v>
      </c>
      <c r="N211" s="40" t="s">
        <v>430</v>
      </c>
      <c r="O211" s="69"/>
      <c r="P211" s="79"/>
      <c r="Q211" s="80"/>
      <c r="R211" s="80"/>
      <c r="S211" s="80"/>
      <c r="T211" s="69"/>
      <c r="U211" s="40" t="s">
        <v>747</v>
      </c>
      <c r="V211" s="40" t="s">
        <v>74</v>
      </c>
    </row>
    <row r="212">
      <c r="A212" s="32" t="s">
        <v>1030</v>
      </c>
      <c r="B212" s="41" t="s">
        <v>1031</v>
      </c>
      <c r="C212" s="46">
        <v>9283.73</v>
      </c>
      <c r="D212" s="62" t="str">
        <f>HYPERLINK("https://osu.ppy.sh/u/3432672","Noobsicle")</f>
        <v>Noobsicle</v>
      </c>
      <c r="E212" s="35" t="s">
        <v>28</v>
      </c>
      <c r="F212" s="63">
        <v>800.0</v>
      </c>
      <c r="G212" s="66" t="s">
        <v>29</v>
      </c>
      <c r="H212" s="66" t="s">
        <v>67</v>
      </c>
      <c r="I212" s="66" t="s">
        <v>31</v>
      </c>
      <c r="J212" s="70" t="s">
        <v>32</v>
      </c>
      <c r="K212" s="71">
        <v>1000.0</v>
      </c>
      <c r="L212" s="52" t="s">
        <v>222</v>
      </c>
      <c r="M212" s="41" t="s">
        <v>288</v>
      </c>
      <c r="N212" s="35" t="s">
        <v>1032</v>
      </c>
      <c r="O212" s="41" t="s">
        <v>109</v>
      </c>
      <c r="P212" s="42">
        <v>85.0</v>
      </c>
      <c r="Q212" s="43">
        <v>117.0</v>
      </c>
      <c r="R212" s="43">
        <v>62.0</v>
      </c>
      <c r="S212" s="43">
        <v>38.0</v>
      </c>
      <c r="T212" s="40" t="s">
        <v>42</v>
      </c>
      <c r="U212" s="75" t="s">
        <v>605</v>
      </c>
      <c r="V212" s="41" t="s">
        <v>856</v>
      </c>
      <c r="Z212" s="45">
        <v>42795.0</v>
      </c>
    </row>
    <row r="213">
      <c r="A213" s="32" t="s">
        <v>1033</v>
      </c>
      <c r="B213" s="41" t="s">
        <v>1034</v>
      </c>
      <c r="C213" s="46">
        <v>9279.26</v>
      </c>
      <c r="D213" s="47" t="str">
        <f>HYPERLINK("https://osu.ppy.sh/u/3072921","Callionet")</f>
        <v>Callionet</v>
      </c>
      <c r="E213" s="52" t="s">
        <v>28</v>
      </c>
      <c r="F213" s="36" t="s">
        <v>66</v>
      </c>
      <c r="G213" s="37" t="s">
        <v>29</v>
      </c>
      <c r="H213" s="37" t="s">
        <v>67</v>
      </c>
      <c r="I213" s="37" t="s">
        <v>31</v>
      </c>
      <c r="J213" s="38" t="s">
        <v>192</v>
      </c>
      <c r="K213" s="39" t="s">
        <v>33</v>
      </c>
      <c r="L213" s="40" t="s">
        <v>68</v>
      </c>
      <c r="M213" s="40" t="s">
        <v>288</v>
      </c>
      <c r="N213" s="1" t="s">
        <v>917</v>
      </c>
      <c r="O213" s="41" t="s">
        <v>109</v>
      </c>
      <c r="P213" s="42">
        <v>85.0</v>
      </c>
      <c r="Q213" s="43">
        <v>117.0</v>
      </c>
      <c r="R213" s="43">
        <v>62.0</v>
      </c>
      <c r="S213" s="43">
        <v>38.0</v>
      </c>
      <c r="T213" s="40" t="s">
        <v>42</v>
      </c>
      <c r="U213" s="40" t="s">
        <v>1035</v>
      </c>
      <c r="V213" s="40" t="s">
        <v>751</v>
      </c>
      <c r="Z213" s="45">
        <v>43282.0</v>
      </c>
    </row>
    <row r="214">
      <c r="A214" s="32" t="s">
        <v>221</v>
      </c>
      <c r="B214" s="1" t="s">
        <v>1036</v>
      </c>
      <c r="C214" s="33">
        <v>9264.08</v>
      </c>
      <c r="D214" s="34" t="str">
        <f>HYPERLINK("https://osu.ppy.sh/u/7096854","Voc1d")</f>
        <v>Voc1d</v>
      </c>
      <c r="E214" s="61" t="s">
        <v>28</v>
      </c>
      <c r="F214" s="63">
        <v>800.0</v>
      </c>
      <c r="G214" s="66" t="s">
        <v>29</v>
      </c>
      <c r="H214" s="48" t="s">
        <v>578</v>
      </c>
      <c r="I214" s="48" t="s">
        <v>373</v>
      </c>
      <c r="J214" s="59" t="s">
        <v>32</v>
      </c>
      <c r="K214" s="74" t="s">
        <v>33</v>
      </c>
      <c r="L214" s="1" t="s">
        <v>305</v>
      </c>
      <c r="M214" s="55" t="s">
        <v>1037</v>
      </c>
      <c r="N214" s="1" t="s">
        <v>1038</v>
      </c>
      <c r="O214" s="41" t="s">
        <v>701</v>
      </c>
      <c r="P214" s="48" t="s">
        <v>497</v>
      </c>
      <c r="Q214" s="48" t="s">
        <v>1039</v>
      </c>
      <c r="R214" s="48" t="s">
        <v>86</v>
      </c>
      <c r="S214" s="48" t="s">
        <v>1040</v>
      </c>
      <c r="T214" s="61" t="s">
        <v>42</v>
      </c>
      <c r="U214" s="55" t="s">
        <v>674</v>
      </c>
      <c r="V214" s="55" t="s">
        <v>74</v>
      </c>
      <c r="Z214" s="45">
        <v>44044.0</v>
      </c>
      <c r="AA214" s="57"/>
    </row>
    <row r="215">
      <c r="A215" s="32" t="s">
        <v>1041</v>
      </c>
      <c r="B215" s="41" t="s">
        <v>1042</v>
      </c>
      <c r="C215" s="46">
        <v>9243.62</v>
      </c>
      <c r="D215" s="47" t="str">
        <f>HYPERLINK("https://osu.ppy.sh/u/3388082","THUNDERCOKC2678")</f>
        <v>THUNDERCOKC2678</v>
      </c>
      <c r="E215" s="35" t="s">
        <v>28</v>
      </c>
      <c r="F215" s="36">
        <v>2000.0</v>
      </c>
      <c r="G215" s="37" t="s">
        <v>29</v>
      </c>
      <c r="H215" s="37" t="s">
        <v>67</v>
      </c>
      <c r="I215" s="37" t="s">
        <v>31</v>
      </c>
      <c r="J215" s="38" t="s">
        <v>32</v>
      </c>
      <c r="K215" s="82"/>
      <c r="L215" s="40" t="s">
        <v>528</v>
      </c>
      <c r="M215" s="1" t="s">
        <v>185</v>
      </c>
      <c r="N215" s="1" t="s">
        <v>1043</v>
      </c>
      <c r="O215" s="40" t="s">
        <v>141</v>
      </c>
      <c r="P215" s="42" t="s">
        <v>187</v>
      </c>
      <c r="Q215" s="43" t="s">
        <v>39</v>
      </c>
      <c r="R215" s="43" t="s">
        <v>72</v>
      </c>
      <c r="S215" s="43" t="s">
        <v>41</v>
      </c>
      <c r="T215" s="40" t="s">
        <v>42</v>
      </c>
      <c r="U215" s="40" t="s">
        <v>1044</v>
      </c>
      <c r="V215" s="40" t="s">
        <v>1045</v>
      </c>
      <c r="Z215" s="45">
        <v>44228.0</v>
      </c>
    </row>
    <row r="216">
      <c r="A216" s="32" t="s">
        <v>1046</v>
      </c>
      <c r="B216" s="1" t="s">
        <v>1047</v>
      </c>
      <c r="C216" s="33">
        <v>9228.27</v>
      </c>
      <c r="D216" s="34" t="str">
        <f>HYPERLINK("https://osu.ppy.sh/u/10567112","Alfrah")</f>
        <v>Alfrah</v>
      </c>
      <c r="E216" s="55" t="s">
        <v>28</v>
      </c>
      <c r="F216" s="48"/>
      <c r="G216" s="37"/>
      <c r="H216" s="48"/>
      <c r="I216" s="48"/>
      <c r="J216" s="59"/>
      <c r="K216" s="53"/>
      <c r="L216" s="1"/>
      <c r="M216" s="40" t="s">
        <v>147</v>
      </c>
      <c r="N216" s="56"/>
      <c r="O216" s="1" t="s">
        <v>149</v>
      </c>
      <c r="P216" s="48">
        <v>61.0</v>
      </c>
      <c r="Q216" s="73" t="s">
        <v>151</v>
      </c>
      <c r="R216" s="48" t="s">
        <v>152</v>
      </c>
      <c r="S216" s="48" t="s">
        <v>41</v>
      </c>
      <c r="T216" s="52" t="s">
        <v>153</v>
      </c>
      <c r="U216" s="55" t="s">
        <v>1048</v>
      </c>
      <c r="V216" s="55" t="s">
        <v>447</v>
      </c>
      <c r="Z216" s="45">
        <v>44228.0</v>
      </c>
      <c r="AA216" s="57"/>
    </row>
    <row r="217">
      <c r="A217" s="32" t="s">
        <v>1049</v>
      </c>
      <c r="B217" s="1" t="s">
        <v>1050</v>
      </c>
      <c r="C217" s="33">
        <v>9226.23</v>
      </c>
      <c r="D217" s="34" t="str">
        <f>HYPERLINK("https://osu.ppy.sh/u/7832253","MouseOverTablet")</f>
        <v>MouseOverTablet</v>
      </c>
      <c r="E217" s="41"/>
      <c r="F217" s="53"/>
      <c r="G217" s="53"/>
      <c r="H217" s="53"/>
      <c r="I217" s="53"/>
      <c r="J217" s="54"/>
      <c r="K217" s="53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Z217" s="45"/>
      <c r="AA217" s="57"/>
    </row>
    <row r="218">
      <c r="A218" s="32" t="s">
        <v>1051</v>
      </c>
      <c r="B218" s="41" t="s">
        <v>1052</v>
      </c>
      <c r="C218" s="46">
        <v>9203.23</v>
      </c>
      <c r="D218" s="47" t="str">
        <f>HYPERLINK("https://osu.ppy.sh/u/4798100","Sjizu")</f>
        <v>Sjizu</v>
      </c>
      <c r="E218" s="52" t="s">
        <v>28</v>
      </c>
      <c r="F218" s="36" t="s">
        <v>105</v>
      </c>
      <c r="G218" s="37" t="s">
        <v>29</v>
      </c>
      <c r="H218" s="37" t="s">
        <v>191</v>
      </c>
      <c r="I218" s="37" t="s">
        <v>31</v>
      </c>
      <c r="J218" s="38" t="s">
        <v>32</v>
      </c>
      <c r="K218" s="39" t="s">
        <v>33</v>
      </c>
      <c r="L218" s="40" t="s">
        <v>193</v>
      </c>
      <c r="M218" s="40" t="s">
        <v>396</v>
      </c>
      <c r="N218" s="1" t="s">
        <v>61</v>
      </c>
      <c r="O218" s="41" t="s">
        <v>52</v>
      </c>
      <c r="P218" s="42" t="s">
        <v>110</v>
      </c>
      <c r="Q218" s="43" t="s">
        <v>457</v>
      </c>
      <c r="R218" s="43" t="s">
        <v>896</v>
      </c>
      <c r="S218" s="43" t="s">
        <v>87</v>
      </c>
      <c r="T218" s="40" t="s">
        <v>42</v>
      </c>
      <c r="U218" s="40" t="s">
        <v>289</v>
      </c>
      <c r="V218" s="40" t="s">
        <v>74</v>
      </c>
      <c r="Z218" s="45">
        <v>43374.0</v>
      </c>
    </row>
    <row r="219">
      <c r="A219" s="32" t="s">
        <v>1053</v>
      </c>
      <c r="B219" s="1" t="s">
        <v>1054</v>
      </c>
      <c r="C219" s="33">
        <v>9200.0</v>
      </c>
      <c r="D219" s="34" t="str">
        <f>HYPERLINK("https://osu.ppy.sh/u/3200014","Rekia")</f>
        <v>Rekia</v>
      </c>
      <c r="E219" s="41" t="s">
        <v>28</v>
      </c>
      <c r="G219" s="53"/>
      <c r="I219" s="53"/>
      <c r="J219" s="54"/>
    </row>
    <row r="220">
      <c r="A220" s="32" t="s">
        <v>1055</v>
      </c>
      <c r="B220" s="1" t="s">
        <v>1056</v>
      </c>
      <c r="C220" s="33">
        <v>9194.81</v>
      </c>
      <c r="D220" s="34" t="str">
        <f>HYPERLINK("https://osu.ppy.sh/u/5867839","namewithnumber9")</f>
        <v>namewithnumber9</v>
      </c>
      <c r="E220" s="41" t="s">
        <v>28</v>
      </c>
      <c r="F220" s="109"/>
      <c r="G220" s="53"/>
      <c r="H220" s="53"/>
      <c r="I220" s="53"/>
      <c r="J220" s="54"/>
      <c r="K220" s="60"/>
      <c r="P220" s="91"/>
      <c r="Q220" s="92"/>
      <c r="R220" s="92"/>
      <c r="S220" s="92"/>
      <c r="Z220" s="45"/>
    </row>
    <row r="221">
      <c r="A221" s="32" t="s">
        <v>1057</v>
      </c>
      <c r="B221" s="1" t="s">
        <v>1058</v>
      </c>
      <c r="C221" s="33">
        <v>9193.37</v>
      </c>
      <c r="D221" s="34" t="str">
        <f>HYPERLINK("https://osu.ppy.sh/u/6741042","meltz")</f>
        <v>meltz</v>
      </c>
      <c r="E221" s="52" t="s">
        <v>28</v>
      </c>
      <c r="F221" s="63">
        <v>800.0</v>
      </c>
      <c r="G221" s="65" t="s">
        <v>29</v>
      </c>
      <c r="H221" s="65" t="s">
        <v>67</v>
      </c>
      <c r="I221" s="66" t="s">
        <v>31</v>
      </c>
      <c r="J221" s="89" t="s">
        <v>32</v>
      </c>
      <c r="K221" s="39" t="s">
        <v>81</v>
      </c>
      <c r="M221" s="1" t="s">
        <v>830</v>
      </c>
      <c r="N221" s="1" t="s">
        <v>696</v>
      </c>
      <c r="U221" s="1" t="s">
        <v>668</v>
      </c>
      <c r="V221" s="1" t="s">
        <v>44</v>
      </c>
    </row>
    <row r="222">
      <c r="A222" s="32" t="s">
        <v>1059</v>
      </c>
      <c r="B222" s="41" t="s">
        <v>1060</v>
      </c>
      <c r="C222" s="46">
        <v>9185.63</v>
      </c>
      <c r="D222" s="105" t="str">
        <f>HYPERLINK("https://osu.ppy.sh/u/6104772","Senko")</f>
        <v>Senko</v>
      </c>
      <c r="E222" s="52" t="s">
        <v>28</v>
      </c>
      <c r="F222" s="100"/>
      <c r="G222" s="101"/>
      <c r="H222" s="101"/>
      <c r="I222" s="101"/>
      <c r="J222" s="49"/>
      <c r="K222" s="82"/>
      <c r="L222" s="69"/>
      <c r="M222" s="69"/>
      <c r="N222" s="69"/>
      <c r="O222" s="69"/>
      <c r="P222" s="79"/>
      <c r="Q222" s="80"/>
      <c r="R222" s="80"/>
      <c r="S222" s="80"/>
      <c r="T222" s="69"/>
      <c r="U222" s="69"/>
      <c r="V222" s="69"/>
      <c r="AA222" s="57"/>
    </row>
    <row r="223">
      <c r="A223" s="32" t="s">
        <v>1061</v>
      </c>
      <c r="B223" s="1" t="s">
        <v>1062</v>
      </c>
      <c r="C223" s="33">
        <v>9183.42</v>
      </c>
      <c r="D223" s="34" t="str">
        <f>HYPERLINK("https://osu.ppy.sh/u/5333154","alion02")</f>
        <v>alion02</v>
      </c>
      <c r="E223" s="35" t="s">
        <v>28</v>
      </c>
      <c r="F223" s="48" t="s">
        <v>1063</v>
      </c>
      <c r="G223" s="48" t="s">
        <v>29</v>
      </c>
      <c r="H223" s="48" t="s">
        <v>172</v>
      </c>
      <c r="I223" s="37" t="s">
        <v>336</v>
      </c>
      <c r="J223" s="59"/>
      <c r="K223" s="71">
        <v>1000.0</v>
      </c>
      <c r="L223" s="1" t="s">
        <v>287</v>
      </c>
      <c r="M223" s="55" t="s">
        <v>1064</v>
      </c>
      <c r="N223" s="56"/>
      <c r="O223" s="1"/>
      <c r="P223" s="85"/>
      <c r="Q223" s="86"/>
      <c r="R223" s="87"/>
      <c r="S223" s="87"/>
      <c r="T223" s="110"/>
      <c r="U223" s="55" t="s">
        <v>1065</v>
      </c>
      <c r="V223" s="55" t="s">
        <v>1066</v>
      </c>
      <c r="Z223" s="45">
        <v>43983.0</v>
      </c>
      <c r="AA223" s="57"/>
    </row>
    <row r="224">
      <c r="A224" s="32" t="s">
        <v>1067</v>
      </c>
      <c r="B224" s="1" t="s">
        <v>1068</v>
      </c>
      <c r="C224" s="33">
        <v>9169.88</v>
      </c>
      <c r="D224" s="34" t="str">
        <f>HYPERLINK("https://osu.ppy.sh/u/8218785","MatoLUL")</f>
        <v>MatoLUL</v>
      </c>
      <c r="E224" s="61" t="s">
        <v>28</v>
      </c>
      <c r="F224" s="109"/>
      <c r="G224" s="53"/>
      <c r="H224" s="53"/>
      <c r="I224" s="53"/>
      <c r="J224" s="54"/>
      <c r="K224" s="60"/>
      <c r="P224" s="91"/>
      <c r="Q224" s="92"/>
      <c r="R224" s="92"/>
      <c r="S224" s="92"/>
      <c r="Z224" s="45"/>
    </row>
    <row r="225">
      <c r="A225" s="32" t="s">
        <v>1069</v>
      </c>
      <c r="B225" s="1" t="s">
        <v>1070</v>
      </c>
      <c r="C225" s="33">
        <v>9166.99</v>
      </c>
      <c r="D225" s="34" t="str">
        <f>HYPERLINK("https://osu.ppy.sh/u/12478193","Cosgho")</f>
        <v>Cosgho</v>
      </c>
      <c r="E225" s="52" t="s">
        <v>28</v>
      </c>
      <c r="F225" s="36">
        <v>800.0</v>
      </c>
      <c r="G225" s="66" t="s">
        <v>29</v>
      </c>
      <c r="H225" s="66" t="s">
        <v>67</v>
      </c>
      <c r="I225" s="48" t="s">
        <v>31</v>
      </c>
      <c r="J225" s="70" t="s">
        <v>32</v>
      </c>
      <c r="K225" s="71">
        <v>1000.0</v>
      </c>
      <c r="L225" s="1" t="s">
        <v>222</v>
      </c>
      <c r="M225" s="41" t="s">
        <v>238</v>
      </c>
      <c r="N225" s="1" t="s">
        <v>179</v>
      </c>
      <c r="O225" s="35" t="s">
        <v>70</v>
      </c>
      <c r="P225" s="72">
        <v>126.0</v>
      </c>
      <c r="Q225" s="73">
        <v>128.0</v>
      </c>
      <c r="R225" s="73">
        <v>76.0</v>
      </c>
      <c r="S225" s="73">
        <v>42.0</v>
      </c>
      <c r="T225" s="52" t="s">
        <v>42</v>
      </c>
      <c r="U225" s="55" t="s">
        <v>1071</v>
      </c>
      <c r="V225" s="55" t="s">
        <v>1072</v>
      </c>
      <c r="Z225" s="45">
        <v>43983.0</v>
      </c>
      <c r="AA225" s="57"/>
    </row>
    <row r="226">
      <c r="A226" s="32" t="s">
        <v>1073</v>
      </c>
      <c r="B226" s="1" t="s">
        <v>1074</v>
      </c>
      <c r="C226" s="33">
        <v>9133.88</v>
      </c>
      <c r="D226" s="34" t="str">
        <f>HYPERLINK("https://osu.ppy.sh/u/1414625","Cinia Pacifica")</f>
        <v>Cinia Pacifica</v>
      </c>
      <c r="E226" s="41"/>
      <c r="Z226" s="45"/>
      <c r="AA226" s="57"/>
    </row>
    <row r="227">
      <c r="A227" s="32" t="s">
        <v>1075</v>
      </c>
      <c r="B227" s="41" t="s">
        <v>1076</v>
      </c>
      <c r="C227" s="46">
        <v>9124.93</v>
      </c>
      <c r="D227" s="62" t="str">
        <f>HYPERLINK("https://osu.ppy.sh/u/2688581","Luscent")</f>
        <v>Luscent</v>
      </c>
      <c r="E227" s="40" t="s">
        <v>28</v>
      </c>
      <c r="F227" s="36">
        <v>1950.0</v>
      </c>
      <c r="G227" s="37" t="s">
        <v>29</v>
      </c>
      <c r="H227" s="37" t="s">
        <v>67</v>
      </c>
      <c r="I227" s="37" t="s">
        <v>336</v>
      </c>
      <c r="J227" s="38" t="s">
        <v>32</v>
      </c>
      <c r="K227" s="39"/>
      <c r="L227" s="40" t="s">
        <v>114</v>
      </c>
      <c r="M227" s="41" t="s">
        <v>139</v>
      </c>
      <c r="N227" s="40" t="s">
        <v>846</v>
      </c>
      <c r="O227" s="40" t="s">
        <v>141</v>
      </c>
      <c r="P227" s="42" t="s">
        <v>71</v>
      </c>
      <c r="Q227" s="43" t="s">
        <v>39</v>
      </c>
      <c r="R227" s="43" t="s">
        <v>72</v>
      </c>
      <c r="S227" s="43" t="s">
        <v>41</v>
      </c>
      <c r="T227" s="40" t="s">
        <v>42</v>
      </c>
      <c r="U227" s="40" t="s">
        <v>1077</v>
      </c>
      <c r="V227" s="40" t="s">
        <v>74</v>
      </c>
      <c r="Z227" s="45">
        <v>43313.0</v>
      </c>
    </row>
    <row r="228">
      <c r="A228" s="32" t="s">
        <v>1078</v>
      </c>
      <c r="B228" s="1" t="s">
        <v>1079</v>
      </c>
      <c r="C228" s="33">
        <v>9057.05</v>
      </c>
      <c r="D228" s="34" t="str">
        <f>HYPERLINK("https://osu.ppy.sh/u/10527116","viiolent")</f>
        <v>viiolent</v>
      </c>
      <c r="E228" s="41"/>
      <c r="F228" s="53"/>
      <c r="G228" s="53"/>
      <c r="H228" s="53"/>
      <c r="I228" s="53"/>
      <c r="J228" s="54"/>
      <c r="K228" s="53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Z228" s="45"/>
      <c r="AA228" s="57"/>
    </row>
    <row r="229">
      <c r="A229" s="32" t="s">
        <v>1080</v>
      </c>
      <c r="B229" s="41" t="s">
        <v>1081</v>
      </c>
      <c r="C229" s="46">
        <v>9053.48</v>
      </c>
      <c r="D229" s="105" t="str">
        <f>HYPERLINK("https://osu.ppy.sh/u/2070822","W3SON")</f>
        <v>W3SON</v>
      </c>
      <c r="E229" s="61" t="s">
        <v>28</v>
      </c>
      <c r="F229" s="63">
        <v>1600.0</v>
      </c>
      <c r="G229" s="66" t="s">
        <v>29</v>
      </c>
      <c r="H229" s="66" t="s">
        <v>164</v>
      </c>
      <c r="I229" s="66" t="s">
        <v>31</v>
      </c>
      <c r="J229" s="70" t="s">
        <v>32</v>
      </c>
      <c r="K229" s="71">
        <v>500.0</v>
      </c>
      <c r="L229" s="61" t="s">
        <v>68</v>
      </c>
      <c r="M229" s="35" t="s">
        <v>962</v>
      </c>
      <c r="N229" s="35" t="s">
        <v>1082</v>
      </c>
      <c r="O229" s="35" t="s">
        <v>524</v>
      </c>
      <c r="P229" s="72">
        <v>90.0</v>
      </c>
      <c r="Q229" s="73">
        <v>128.0</v>
      </c>
      <c r="R229" s="73">
        <v>67.0</v>
      </c>
      <c r="S229" s="73">
        <v>37.0</v>
      </c>
      <c r="T229" s="61" t="s">
        <v>53</v>
      </c>
      <c r="U229" s="35" t="s">
        <v>609</v>
      </c>
      <c r="V229" s="35" t="s">
        <v>74</v>
      </c>
    </row>
    <row r="230">
      <c r="A230" s="32" t="s">
        <v>1083</v>
      </c>
      <c r="B230" s="41" t="s">
        <v>1084</v>
      </c>
      <c r="C230" s="46">
        <v>9052.58</v>
      </c>
      <c r="D230" s="47" t="str">
        <f>HYPERLINK("https://osu.ppy.sh/u/4354854","Julian Alaph")</f>
        <v>Julian Alaph</v>
      </c>
      <c r="E230" s="41" t="s">
        <v>28</v>
      </c>
      <c r="F230" s="63">
        <v>800.0</v>
      </c>
      <c r="G230" s="66" t="s">
        <v>29</v>
      </c>
      <c r="H230" s="48" t="s">
        <v>67</v>
      </c>
      <c r="I230" s="48" t="s">
        <v>31</v>
      </c>
      <c r="J230" s="59" t="s">
        <v>32</v>
      </c>
      <c r="K230" s="74" t="s">
        <v>33</v>
      </c>
      <c r="L230" s="52" t="s">
        <v>222</v>
      </c>
      <c r="M230" s="40" t="s">
        <v>1085</v>
      </c>
      <c r="N230" s="40" t="s">
        <v>780</v>
      </c>
      <c r="O230" s="40" t="s">
        <v>709</v>
      </c>
      <c r="P230" s="42" t="s">
        <v>110</v>
      </c>
      <c r="Q230" s="43" t="s">
        <v>85</v>
      </c>
      <c r="R230" s="43" t="s">
        <v>458</v>
      </c>
      <c r="S230" s="43" t="s">
        <v>323</v>
      </c>
      <c r="T230" s="52" t="s">
        <v>42</v>
      </c>
      <c r="U230" s="40" t="s">
        <v>252</v>
      </c>
      <c r="V230" s="40" t="s">
        <v>74</v>
      </c>
      <c r="Z230" s="45">
        <v>43922.0</v>
      </c>
      <c r="AA230" s="57"/>
    </row>
    <row r="231">
      <c r="A231" s="32" t="s">
        <v>1086</v>
      </c>
      <c r="B231" s="41" t="s">
        <v>1087</v>
      </c>
      <c r="C231" s="46">
        <v>9051.34</v>
      </c>
      <c r="D231" s="47" t="str">
        <f>HYPERLINK("https://osu.ppy.sh/u/2522758","maikuroPoni")</f>
        <v>maikuroPoni</v>
      </c>
      <c r="E231" s="52" t="s">
        <v>28</v>
      </c>
      <c r="F231" s="36" t="s">
        <v>105</v>
      </c>
      <c r="G231" s="37" t="s">
        <v>29</v>
      </c>
      <c r="H231" s="37" t="s">
        <v>67</v>
      </c>
      <c r="I231" s="37" t="s">
        <v>31</v>
      </c>
      <c r="J231" s="38" t="s">
        <v>32</v>
      </c>
      <c r="K231" s="39" t="s">
        <v>81</v>
      </c>
      <c r="L231" s="69"/>
      <c r="M231" s="40" t="s">
        <v>962</v>
      </c>
      <c r="N231" s="40" t="s">
        <v>1088</v>
      </c>
      <c r="O231" s="35" t="s">
        <v>524</v>
      </c>
      <c r="P231" s="72">
        <v>90.0</v>
      </c>
      <c r="Q231" s="73">
        <v>128.0</v>
      </c>
      <c r="R231" s="73">
        <v>67.0</v>
      </c>
      <c r="S231" s="73">
        <v>37.0</v>
      </c>
      <c r="T231" s="44" t="s">
        <v>53</v>
      </c>
      <c r="U231" s="40" t="s">
        <v>1089</v>
      </c>
      <c r="V231" s="40" t="s">
        <v>74</v>
      </c>
    </row>
    <row r="232">
      <c r="A232" s="32" t="s">
        <v>1090</v>
      </c>
      <c r="B232" s="1" t="s">
        <v>1091</v>
      </c>
      <c r="C232" s="33">
        <v>9051.11</v>
      </c>
      <c r="D232" s="34" t="str">
        <f>HYPERLINK("https://osu.ppy.sh/u/7428814","aosora")</f>
        <v>aosora</v>
      </c>
      <c r="E232" s="41" t="s">
        <v>28</v>
      </c>
      <c r="F232" s="63">
        <v>800.0</v>
      </c>
      <c r="G232" s="66" t="s">
        <v>29</v>
      </c>
      <c r="H232" s="48" t="s">
        <v>1092</v>
      </c>
      <c r="I232" s="48" t="s">
        <v>311</v>
      </c>
      <c r="J232" s="59" t="s">
        <v>32</v>
      </c>
      <c r="K232" s="48" t="s">
        <v>33</v>
      </c>
      <c r="L232" s="1" t="s">
        <v>1093</v>
      </c>
      <c r="M232" s="55" t="s">
        <v>108</v>
      </c>
      <c r="N232" s="55" t="s">
        <v>148</v>
      </c>
      <c r="O232" s="1" t="s">
        <v>109</v>
      </c>
      <c r="P232" s="85" t="s">
        <v>110</v>
      </c>
      <c r="Q232" s="86" t="s">
        <v>39</v>
      </c>
      <c r="R232" s="87" t="s">
        <v>72</v>
      </c>
      <c r="S232" s="87" t="s">
        <v>41</v>
      </c>
      <c r="T232" s="48" t="s">
        <v>42</v>
      </c>
      <c r="U232" s="55" t="s">
        <v>1094</v>
      </c>
      <c r="V232" s="55" t="s">
        <v>597</v>
      </c>
      <c r="Z232" s="45">
        <v>44105.0</v>
      </c>
      <c r="AA232" s="57"/>
    </row>
    <row r="233">
      <c r="A233" s="32" t="s">
        <v>1095</v>
      </c>
      <c r="B233" s="111" t="s">
        <v>423</v>
      </c>
      <c r="C233" s="112">
        <v>9033.71</v>
      </c>
      <c r="D233" s="113" t="str">
        <f>HYPERLINK("https://osu.ppy.sh/u/3992043","Penguin UwU")</f>
        <v>Penguin UwU</v>
      </c>
      <c r="E233" s="55" t="s">
        <v>28</v>
      </c>
      <c r="F233" s="58">
        <v>600.0</v>
      </c>
      <c r="G233" s="48" t="s">
        <v>29</v>
      </c>
      <c r="H233" s="48" t="s">
        <v>67</v>
      </c>
      <c r="I233" s="48" t="s">
        <v>106</v>
      </c>
      <c r="J233" s="59" t="s">
        <v>32</v>
      </c>
      <c r="K233" s="60"/>
      <c r="L233" s="55" t="s">
        <v>477</v>
      </c>
      <c r="M233" s="1" t="s">
        <v>108</v>
      </c>
      <c r="N233" s="1" t="s">
        <v>179</v>
      </c>
      <c r="O233" s="1" t="s">
        <v>109</v>
      </c>
      <c r="P233" s="85" t="s">
        <v>110</v>
      </c>
      <c r="Q233" s="86" t="s">
        <v>39</v>
      </c>
      <c r="R233" s="87" t="s">
        <v>72</v>
      </c>
      <c r="S233" s="87" t="s">
        <v>41</v>
      </c>
      <c r="T233" s="48" t="s">
        <v>42</v>
      </c>
      <c r="U233" s="55" t="s">
        <v>240</v>
      </c>
      <c r="V233" s="1" t="s">
        <v>74</v>
      </c>
      <c r="Z233" s="45">
        <v>42979.0</v>
      </c>
    </row>
    <row r="234">
      <c r="A234" s="32" t="s">
        <v>1096</v>
      </c>
      <c r="B234" s="1" t="s">
        <v>1097</v>
      </c>
      <c r="C234" s="33">
        <v>9027.33</v>
      </c>
      <c r="D234" s="34" t="str">
        <f>HYPERLINK("https://osu.ppy.sh/u/12839095","showerpiss")</f>
        <v>showerpiss</v>
      </c>
      <c r="E234" s="52" t="s">
        <v>571</v>
      </c>
      <c r="F234" s="48" t="s">
        <v>1098</v>
      </c>
      <c r="G234" s="48" t="s">
        <v>29</v>
      </c>
      <c r="H234" s="48" t="s">
        <v>1099</v>
      </c>
      <c r="I234" s="48" t="s">
        <v>31</v>
      </c>
      <c r="J234" s="59" t="s">
        <v>32</v>
      </c>
      <c r="K234" s="53"/>
      <c r="L234" s="1" t="s">
        <v>1100</v>
      </c>
      <c r="M234" s="55" t="s">
        <v>406</v>
      </c>
      <c r="N234" s="55" t="s">
        <v>1101</v>
      </c>
      <c r="O234" s="35" t="s">
        <v>408</v>
      </c>
      <c r="P234" s="72">
        <v>105.0</v>
      </c>
      <c r="Q234" s="73">
        <v>130.0</v>
      </c>
      <c r="R234" s="73">
        <v>70.0</v>
      </c>
      <c r="S234" s="73">
        <v>43.0</v>
      </c>
      <c r="T234" s="61" t="s">
        <v>42</v>
      </c>
      <c r="U234" s="56"/>
      <c r="V234" s="56"/>
      <c r="Z234" s="45">
        <v>43983.0</v>
      </c>
      <c r="AA234" s="57"/>
    </row>
    <row r="235">
      <c r="A235" s="32" t="s">
        <v>1102</v>
      </c>
      <c r="B235" s="41" t="s">
        <v>1103</v>
      </c>
      <c r="C235" s="46">
        <v>9013.56</v>
      </c>
      <c r="D235" s="83" t="str">
        <f>HYPERLINK("https://osu.ppy.sh/u/3277704","Espaas")</f>
        <v>Espaas</v>
      </c>
      <c r="E235" s="52" t="s">
        <v>28</v>
      </c>
      <c r="F235" s="36">
        <v>800.0</v>
      </c>
      <c r="G235" s="37" t="s">
        <v>29</v>
      </c>
      <c r="H235" s="37" t="s">
        <v>67</v>
      </c>
      <c r="I235" s="37" t="s">
        <v>31</v>
      </c>
      <c r="J235" s="38" t="s">
        <v>192</v>
      </c>
      <c r="K235" s="82"/>
      <c r="L235" s="40" t="s">
        <v>222</v>
      </c>
      <c r="M235" s="40" t="s">
        <v>199</v>
      </c>
      <c r="N235" s="40" t="s">
        <v>1104</v>
      </c>
      <c r="O235" s="35" t="s">
        <v>201</v>
      </c>
      <c r="P235" s="72">
        <v>103.0</v>
      </c>
      <c r="Q235" s="73">
        <v>136.0</v>
      </c>
      <c r="R235" s="73">
        <v>72.0</v>
      </c>
      <c r="S235" s="73">
        <v>41.0</v>
      </c>
      <c r="T235" s="61" t="s">
        <v>42</v>
      </c>
      <c r="U235" s="40" t="s">
        <v>609</v>
      </c>
      <c r="V235" s="40" t="s">
        <v>1105</v>
      </c>
    </row>
    <row r="236">
      <c r="A236" s="32" t="s">
        <v>1106</v>
      </c>
      <c r="B236" s="41" t="s">
        <v>1107</v>
      </c>
      <c r="C236" s="46">
        <v>9009.3</v>
      </c>
      <c r="D236" s="47" t="str">
        <f>HYPERLINK("https://osu.ppy.sh/u/9119507","Dada")</f>
        <v>Dada</v>
      </c>
      <c r="E236" s="52" t="s">
        <v>28</v>
      </c>
      <c r="F236" s="36" t="s">
        <v>105</v>
      </c>
      <c r="G236" s="101"/>
      <c r="H236" s="37" t="s">
        <v>67</v>
      </c>
      <c r="I236" s="37" t="s">
        <v>98</v>
      </c>
      <c r="J236" s="49"/>
      <c r="K236" s="82"/>
      <c r="L236" s="69"/>
      <c r="M236" s="40" t="s">
        <v>108</v>
      </c>
      <c r="N236" s="69"/>
      <c r="O236" s="1" t="s">
        <v>109</v>
      </c>
      <c r="P236" s="85" t="s">
        <v>110</v>
      </c>
      <c r="Q236" s="86" t="s">
        <v>39</v>
      </c>
      <c r="R236" s="87" t="s">
        <v>72</v>
      </c>
      <c r="S236" s="87" t="s">
        <v>41</v>
      </c>
      <c r="T236" s="48" t="s">
        <v>42</v>
      </c>
      <c r="U236" s="40" t="s">
        <v>850</v>
      </c>
      <c r="V236" s="40" t="s">
        <v>74</v>
      </c>
      <c r="Z236" s="45">
        <v>43282.0</v>
      </c>
    </row>
    <row r="237">
      <c r="A237" s="32" t="s">
        <v>1108</v>
      </c>
      <c r="B237" s="41" t="s">
        <v>1109</v>
      </c>
      <c r="C237" s="46">
        <v>8994.66</v>
      </c>
      <c r="D237" s="62" t="str">
        <f>HYPERLINK("https://osu.ppy.sh/u/2088084","Orange Mushroom")</f>
        <v>Orange Mushroom</v>
      </c>
      <c r="E237" s="61" t="s">
        <v>28</v>
      </c>
      <c r="F237" s="36">
        <v>3200.0</v>
      </c>
      <c r="G237" s="37" t="s">
        <v>29</v>
      </c>
      <c r="H237" s="37" t="s">
        <v>67</v>
      </c>
      <c r="I237" s="37" t="s">
        <v>1110</v>
      </c>
      <c r="J237" s="38" t="s">
        <v>32</v>
      </c>
      <c r="K237" s="82"/>
      <c r="L237" s="40" t="s">
        <v>1111</v>
      </c>
      <c r="M237" s="75" t="s">
        <v>1112</v>
      </c>
      <c r="N237" s="41" t="s">
        <v>1113</v>
      </c>
      <c r="O237" s="75" t="s">
        <v>1114</v>
      </c>
      <c r="P237" s="79"/>
      <c r="Q237" s="80"/>
      <c r="R237" s="80"/>
      <c r="S237" s="80"/>
      <c r="T237" s="57"/>
      <c r="U237" s="75" t="s">
        <v>1115</v>
      </c>
      <c r="V237" s="75" t="s">
        <v>63</v>
      </c>
    </row>
    <row r="238">
      <c r="A238" s="32" t="s">
        <v>1116</v>
      </c>
      <c r="B238" s="1" t="s">
        <v>1117</v>
      </c>
      <c r="C238" s="33">
        <v>8984.51</v>
      </c>
      <c r="D238" s="34" t="str">
        <f>HYPERLINK("https://osu.ppy.sh/u/10157694","Checha")</f>
        <v>Checha</v>
      </c>
      <c r="E238" s="41" t="s">
        <v>28</v>
      </c>
      <c r="F238" s="36" t="s">
        <v>77</v>
      </c>
      <c r="G238" s="48" t="s">
        <v>29</v>
      </c>
      <c r="H238" s="48" t="s">
        <v>67</v>
      </c>
      <c r="I238" s="48" t="s">
        <v>31</v>
      </c>
      <c r="J238" s="59" t="s">
        <v>32</v>
      </c>
      <c r="K238" s="74">
        <v>500.0</v>
      </c>
      <c r="L238" s="1" t="s">
        <v>417</v>
      </c>
      <c r="M238" s="1" t="s">
        <v>108</v>
      </c>
      <c r="N238" s="55" t="s">
        <v>502</v>
      </c>
      <c r="O238" s="1" t="s">
        <v>109</v>
      </c>
      <c r="P238" s="85" t="s">
        <v>110</v>
      </c>
      <c r="Q238" s="86" t="s">
        <v>39</v>
      </c>
      <c r="R238" s="87" t="s">
        <v>72</v>
      </c>
      <c r="S238" s="87" t="s">
        <v>41</v>
      </c>
      <c r="T238" s="48" t="s">
        <v>42</v>
      </c>
      <c r="U238" s="55" t="s">
        <v>674</v>
      </c>
      <c r="V238" s="55" t="s">
        <v>74</v>
      </c>
      <c r="Z238" s="45">
        <v>44013.0</v>
      </c>
      <c r="AA238" s="57"/>
    </row>
    <row r="239">
      <c r="A239" s="32" t="s">
        <v>1118</v>
      </c>
      <c r="B239" s="1" t="s">
        <v>1119</v>
      </c>
      <c r="C239" s="33">
        <v>8981.45</v>
      </c>
      <c r="D239" s="34" t="str">
        <f>HYPERLINK("https://osu.ppy.sh/u/2685244","SpeedCore")</f>
        <v>SpeedCore</v>
      </c>
      <c r="E239" s="55" t="s">
        <v>28</v>
      </c>
      <c r="F239" s="58" t="s">
        <v>105</v>
      </c>
      <c r="G239" s="48" t="s">
        <v>29</v>
      </c>
      <c r="H239" s="48" t="s">
        <v>1099</v>
      </c>
      <c r="I239" s="48" t="s">
        <v>106</v>
      </c>
      <c r="J239" s="54"/>
      <c r="K239" s="74" t="s">
        <v>33</v>
      </c>
      <c r="L239" s="55" t="s">
        <v>755</v>
      </c>
      <c r="M239" s="1" t="s">
        <v>1120</v>
      </c>
      <c r="N239" s="1" t="s">
        <v>92</v>
      </c>
      <c r="P239" s="91"/>
      <c r="Q239" s="87" t="s">
        <v>1121</v>
      </c>
      <c r="R239" s="87" t="s">
        <v>1122</v>
      </c>
      <c r="S239" s="87" t="s">
        <v>217</v>
      </c>
      <c r="T239" s="56"/>
      <c r="U239" s="55" t="s">
        <v>117</v>
      </c>
      <c r="V239" s="1" t="s">
        <v>89</v>
      </c>
      <c r="Z239" s="45">
        <v>43070.0</v>
      </c>
    </row>
    <row r="240">
      <c r="A240" s="32" t="s">
        <v>1123</v>
      </c>
      <c r="B240" s="1" t="s">
        <v>1124</v>
      </c>
      <c r="C240" s="33">
        <v>8972.35</v>
      </c>
      <c r="D240" s="34" t="str">
        <f>HYPERLINK("https://osu.ppy.sh/u/5041691","WhyV")</f>
        <v>WhyV</v>
      </c>
      <c r="E240" s="61" t="s">
        <v>28</v>
      </c>
      <c r="G240" s="53"/>
      <c r="I240" s="53"/>
      <c r="J240" s="54"/>
    </row>
    <row r="241">
      <c r="A241" s="32" t="s">
        <v>1125</v>
      </c>
      <c r="B241" s="1" t="s">
        <v>1126</v>
      </c>
      <c r="C241" s="33">
        <v>8970.77</v>
      </c>
      <c r="D241" s="34" t="str">
        <f>HYPERLINK("https://osu.ppy.sh/u/9583478","MarcusS")</f>
        <v>MarcusS</v>
      </c>
      <c r="E241" s="52" t="s">
        <v>28</v>
      </c>
      <c r="F241" s="48" t="s">
        <v>206</v>
      </c>
      <c r="G241" s="48" t="s">
        <v>29</v>
      </c>
      <c r="H241" s="48" t="s">
        <v>1127</v>
      </c>
      <c r="I241" s="48" t="s">
        <v>336</v>
      </c>
      <c r="J241" s="59" t="s">
        <v>32</v>
      </c>
      <c r="K241" s="48" t="s">
        <v>33</v>
      </c>
      <c r="L241" s="1" t="s">
        <v>1128</v>
      </c>
      <c r="M241" s="55" t="s">
        <v>364</v>
      </c>
      <c r="N241" s="55" t="s">
        <v>148</v>
      </c>
      <c r="O241" s="41" t="s">
        <v>365</v>
      </c>
      <c r="P241" s="85" t="s">
        <v>366</v>
      </c>
      <c r="Q241" s="87" t="s">
        <v>367</v>
      </c>
      <c r="R241" s="87" t="s">
        <v>347</v>
      </c>
      <c r="S241" s="87" t="s">
        <v>368</v>
      </c>
      <c r="T241" s="61" t="s">
        <v>42</v>
      </c>
      <c r="U241" s="55" t="s">
        <v>252</v>
      </c>
      <c r="V241" s="55" t="s">
        <v>203</v>
      </c>
      <c r="Z241" s="45">
        <v>44075.0</v>
      </c>
      <c r="AA241" s="57"/>
    </row>
    <row r="242">
      <c r="A242" s="32" t="s">
        <v>1129</v>
      </c>
      <c r="B242" s="41" t="s">
        <v>1130</v>
      </c>
      <c r="C242" s="46">
        <v>8962.36</v>
      </c>
      <c r="D242" s="47" t="str">
        <f>HYPERLINK("https://osu.ppy.sh/u/8950445","Solomon")</f>
        <v>Solomon</v>
      </c>
      <c r="E242" s="52"/>
      <c r="F242" s="100"/>
      <c r="G242" s="101"/>
      <c r="H242" s="101"/>
      <c r="I242" s="101"/>
      <c r="J242" s="49"/>
      <c r="K242" s="82"/>
      <c r="L242" s="69"/>
      <c r="M242" s="69"/>
      <c r="N242" s="69"/>
      <c r="O242" s="69"/>
      <c r="P242" s="79"/>
      <c r="Q242" s="80"/>
      <c r="R242" s="80"/>
      <c r="S242" s="80"/>
      <c r="T242" s="69"/>
      <c r="U242" s="69"/>
      <c r="V242" s="69"/>
    </row>
    <row r="243">
      <c r="A243" s="32" t="s">
        <v>1131</v>
      </c>
      <c r="B243" s="1" t="s">
        <v>1132</v>
      </c>
      <c r="C243" s="33">
        <v>8961.9</v>
      </c>
      <c r="D243" s="34" t="str">
        <f>HYPERLINK("https://osu.ppy.sh/u/9323821","HEDAYO")</f>
        <v>HEDAYO</v>
      </c>
      <c r="E243" s="52" t="s">
        <v>28</v>
      </c>
      <c r="F243" s="36" t="s">
        <v>58</v>
      </c>
      <c r="G243" s="37" t="s">
        <v>29</v>
      </c>
      <c r="H243" s="37" t="s">
        <v>1133</v>
      </c>
      <c r="I243" s="37" t="s">
        <v>31</v>
      </c>
      <c r="J243" s="38" t="s">
        <v>32</v>
      </c>
      <c r="K243" s="39" t="s">
        <v>33</v>
      </c>
      <c r="L243" s="40" t="s">
        <v>755</v>
      </c>
      <c r="M243" s="40" t="s">
        <v>1134</v>
      </c>
      <c r="N243" s="40" t="s">
        <v>92</v>
      </c>
      <c r="O243" s="40" t="s">
        <v>1135</v>
      </c>
      <c r="P243" s="42" t="s">
        <v>1136</v>
      </c>
      <c r="Q243" s="43" t="s">
        <v>175</v>
      </c>
      <c r="R243" s="43" t="s">
        <v>347</v>
      </c>
      <c r="S243" s="43" t="s">
        <v>1137</v>
      </c>
      <c r="T243" s="52" t="s">
        <v>42</v>
      </c>
      <c r="U243" s="40" t="s">
        <v>176</v>
      </c>
      <c r="V243" s="40" t="s">
        <v>74</v>
      </c>
      <c r="Z243" s="45">
        <v>43525.0</v>
      </c>
    </row>
    <row r="244">
      <c r="A244" s="32" t="s">
        <v>1138</v>
      </c>
      <c r="B244" s="41" t="s">
        <v>1139</v>
      </c>
      <c r="C244" s="46">
        <v>8952.22</v>
      </c>
      <c r="D244" s="105" t="str">
        <f>HYPERLINK("https://osu.ppy.sh/u/4239101","Terandr")</f>
        <v>Terandr</v>
      </c>
      <c r="E244" s="40" t="s">
        <v>28</v>
      </c>
      <c r="F244" s="100"/>
      <c r="G244" s="128"/>
      <c r="H244" s="128"/>
      <c r="I244" s="128"/>
      <c r="J244" s="129"/>
      <c r="K244" s="82"/>
      <c r="L244" s="57"/>
      <c r="M244" s="57"/>
      <c r="N244" s="57"/>
      <c r="O244" s="57"/>
      <c r="P244" s="79"/>
      <c r="Q244" s="80"/>
      <c r="R244" s="80"/>
      <c r="S244" s="80"/>
      <c r="T244" s="57"/>
      <c r="U244" s="57"/>
      <c r="V244" s="57"/>
      <c r="Z244" s="45">
        <v>42826.0</v>
      </c>
    </row>
    <row r="245">
      <c r="A245" s="32" t="s">
        <v>1140</v>
      </c>
      <c r="B245" s="41" t="s">
        <v>1141</v>
      </c>
      <c r="C245" s="46">
        <v>8932.62</v>
      </c>
      <c r="D245" s="47" t="str">
        <f>HYPERLINK("https://osu.ppy.sh/u/410238","kepel")</f>
        <v>kepel</v>
      </c>
      <c r="E245" s="52" t="s">
        <v>28</v>
      </c>
      <c r="F245" s="100"/>
      <c r="G245" s="101"/>
      <c r="H245" s="101"/>
      <c r="I245" s="101"/>
      <c r="J245" s="49"/>
      <c r="K245" s="82"/>
      <c r="L245" s="69"/>
      <c r="M245" s="69"/>
      <c r="N245" s="69"/>
      <c r="O245" s="69"/>
      <c r="P245" s="79"/>
      <c r="Q245" s="80"/>
      <c r="R245" s="80"/>
      <c r="S245" s="80"/>
      <c r="T245" s="69"/>
      <c r="U245" s="69"/>
      <c r="V245" s="69"/>
    </row>
    <row r="246">
      <c r="A246" s="32" t="s">
        <v>1142</v>
      </c>
      <c r="B246" s="41" t="s">
        <v>1143</v>
      </c>
      <c r="C246" s="46">
        <v>8931.79</v>
      </c>
      <c r="D246" s="62" t="str">
        <f>HYPERLINK("https://osu.ppy.sh/u/3600441","zzyyy")</f>
        <v>zzyyy</v>
      </c>
      <c r="E246" s="61" t="s">
        <v>28</v>
      </c>
      <c r="F246" s="63">
        <v>550.0</v>
      </c>
      <c r="G246" s="66" t="s">
        <v>29</v>
      </c>
      <c r="H246" s="66" t="s">
        <v>67</v>
      </c>
      <c r="I246" s="66" t="s">
        <v>106</v>
      </c>
      <c r="J246" s="70" t="s">
        <v>192</v>
      </c>
      <c r="K246" s="71">
        <v>1000.0</v>
      </c>
      <c r="L246" s="61" t="s">
        <v>351</v>
      </c>
      <c r="M246" s="35" t="s">
        <v>485</v>
      </c>
      <c r="N246" s="35" t="s">
        <v>61</v>
      </c>
      <c r="O246" s="69"/>
      <c r="P246" s="79"/>
      <c r="Q246" s="80"/>
      <c r="R246" s="80"/>
      <c r="S246" s="80"/>
      <c r="T246" s="69"/>
      <c r="U246" s="35" t="s">
        <v>1144</v>
      </c>
      <c r="V246" s="35" t="s">
        <v>63</v>
      </c>
    </row>
    <row r="247">
      <c r="A247" s="81" t="s">
        <v>1145</v>
      </c>
      <c r="B247" s="1" t="s">
        <v>1146</v>
      </c>
      <c r="C247" s="33">
        <v>8929.08</v>
      </c>
      <c r="D247" s="34" t="str">
        <f>HYPERLINK("https://osu.ppy.sh/u/4980263","RussianSoup")</f>
        <v>RussianSoup</v>
      </c>
      <c r="E247" s="55"/>
      <c r="F247" s="109"/>
      <c r="G247" s="53"/>
      <c r="H247" s="53"/>
      <c r="I247" s="53"/>
      <c r="J247" s="54"/>
      <c r="K247" s="60"/>
      <c r="L247" s="56"/>
      <c r="P247" s="91"/>
      <c r="Q247" s="92"/>
      <c r="R247" s="93"/>
      <c r="S247" s="93"/>
      <c r="T247" s="53"/>
      <c r="U247" s="56"/>
    </row>
    <row r="248">
      <c r="A248" s="81" t="s">
        <v>227</v>
      </c>
      <c r="B248" s="1" t="s">
        <v>1147</v>
      </c>
      <c r="C248" s="33">
        <v>8903.21</v>
      </c>
      <c r="D248" s="34" t="str">
        <f>HYPERLINK("https://osu.ppy.sh/u/4059978","Zereliq")</f>
        <v>Zereliq</v>
      </c>
      <c r="E248" s="35" t="s">
        <v>28</v>
      </c>
      <c r="F248" s="48" t="s">
        <v>105</v>
      </c>
      <c r="G248" s="37" t="s">
        <v>29</v>
      </c>
      <c r="H248" s="48" t="s">
        <v>1148</v>
      </c>
      <c r="I248" s="48" t="s">
        <v>336</v>
      </c>
      <c r="J248" s="38" t="s">
        <v>32</v>
      </c>
      <c r="K248" s="39">
        <v>1000.0</v>
      </c>
      <c r="L248" s="1" t="s">
        <v>536</v>
      </c>
      <c r="M248" s="55" t="s">
        <v>1149</v>
      </c>
      <c r="N248" s="55" t="s">
        <v>1150</v>
      </c>
      <c r="O248" s="55" t="s">
        <v>1151</v>
      </c>
      <c r="P248" s="48" t="s">
        <v>216</v>
      </c>
      <c r="Q248" s="48" t="s">
        <v>1152</v>
      </c>
      <c r="R248" s="48" t="s">
        <v>458</v>
      </c>
      <c r="S248" s="48" t="s">
        <v>41</v>
      </c>
      <c r="T248" s="61" t="s">
        <v>218</v>
      </c>
      <c r="U248" s="55" t="s">
        <v>879</v>
      </c>
      <c r="V248" s="55" t="s">
        <v>491</v>
      </c>
      <c r="Z248" s="45">
        <v>44105.0</v>
      </c>
      <c r="AA248" s="57"/>
    </row>
    <row r="249">
      <c r="A249" s="81" t="s">
        <v>1153</v>
      </c>
      <c r="B249" s="1" t="s">
        <v>1154</v>
      </c>
      <c r="C249" s="33">
        <v>8901.89</v>
      </c>
      <c r="D249" s="34" t="str">
        <f>HYPERLINK("https://osu.ppy.sh/u/8351538","rnfma6228")</f>
        <v>rnfma6228</v>
      </c>
      <c r="E249" s="52" t="s">
        <v>28</v>
      </c>
      <c r="F249" s="58" t="s">
        <v>58</v>
      </c>
      <c r="G249" s="48" t="s">
        <v>29</v>
      </c>
      <c r="H249" s="48" t="s">
        <v>67</v>
      </c>
      <c r="I249" s="48" t="s">
        <v>31</v>
      </c>
      <c r="J249" s="54"/>
      <c r="K249" s="74" t="s">
        <v>1029</v>
      </c>
      <c r="L249" s="1" t="s">
        <v>257</v>
      </c>
      <c r="M249" s="1" t="s">
        <v>1155</v>
      </c>
      <c r="N249" s="1" t="s">
        <v>1156</v>
      </c>
      <c r="O249" s="1" t="s">
        <v>1157</v>
      </c>
      <c r="P249" s="85" t="s">
        <v>366</v>
      </c>
      <c r="Q249" s="86" t="s">
        <v>1158</v>
      </c>
      <c r="R249" s="86" t="s">
        <v>1122</v>
      </c>
      <c r="S249" s="86" t="s">
        <v>1159</v>
      </c>
      <c r="T249" s="61"/>
      <c r="U249" s="1" t="s">
        <v>1160</v>
      </c>
      <c r="V249" s="1" t="s">
        <v>63</v>
      </c>
      <c r="Z249" s="45">
        <v>43101.0</v>
      </c>
    </row>
    <row r="250">
      <c r="A250" s="81" t="s">
        <v>1161</v>
      </c>
      <c r="B250" s="1" t="s">
        <v>1162</v>
      </c>
      <c r="C250" s="33">
        <v>8899.36</v>
      </c>
      <c r="D250" s="34" t="str">
        <f>HYPERLINK("https://osu.ppy.sh/u/9424885","RaidyHD")</f>
        <v>RaidyHD</v>
      </c>
      <c r="E250" s="61" t="s">
        <v>28</v>
      </c>
      <c r="F250" s="58" t="s">
        <v>303</v>
      </c>
      <c r="G250" s="48" t="s">
        <v>29</v>
      </c>
      <c r="H250" s="48" t="s">
        <v>191</v>
      </c>
      <c r="I250" s="48" t="s">
        <v>267</v>
      </c>
      <c r="J250" s="59" t="s">
        <v>32</v>
      </c>
      <c r="K250" s="74" t="s">
        <v>33</v>
      </c>
      <c r="L250" s="1" t="s">
        <v>536</v>
      </c>
      <c r="M250" s="1" t="s">
        <v>288</v>
      </c>
      <c r="N250" s="1" t="s">
        <v>160</v>
      </c>
      <c r="O250" s="41" t="s">
        <v>109</v>
      </c>
      <c r="P250" s="42">
        <v>85.0</v>
      </c>
      <c r="Q250" s="43">
        <v>117.0</v>
      </c>
      <c r="R250" s="43">
        <v>62.0</v>
      </c>
      <c r="S250" s="43">
        <v>38.0</v>
      </c>
      <c r="T250" s="40" t="s">
        <v>42</v>
      </c>
      <c r="U250" s="1" t="s">
        <v>1163</v>
      </c>
      <c r="V250" s="1" t="s">
        <v>597</v>
      </c>
      <c r="Z250" s="45">
        <v>43891.0</v>
      </c>
    </row>
    <row r="251">
      <c r="A251" s="81" t="s">
        <v>1164</v>
      </c>
      <c r="B251" s="41" t="s">
        <v>1165</v>
      </c>
      <c r="C251" s="46">
        <v>8890.82</v>
      </c>
      <c r="D251" s="47" t="str">
        <f>HYPERLINK("https://osu.ppy.sh/u/5754859","pewdekz")</f>
        <v>pewdekz</v>
      </c>
      <c r="E251" s="52" t="s">
        <v>28</v>
      </c>
      <c r="F251" s="36">
        <v>800.0</v>
      </c>
      <c r="G251" s="37" t="s">
        <v>29</v>
      </c>
      <c r="H251" s="37" t="s">
        <v>578</v>
      </c>
      <c r="I251" s="37" t="s">
        <v>31</v>
      </c>
      <c r="J251" s="38" t="s">
        <v>32</v>
      </c>
      <c r="K251" s="39" t="s">
        <v>33</v>
      </c>
      <c r="L251" s="40" t="s">
        <v>417</v>
      </c>
      <c r="M251" s="40" t="s">
        <v>327</v>
      </c>
      <c r="N251" s="40" t="s">
        <v>1166</v>
      </c>
      <c r="O251" s="40" t="s">
        <v>141</v>
      </c>
      <c r="P251" s="42" t="s">
        <v>187</v>
      </c>
      <c r="Q251" s="43" t="s">
        <v>39</v>
      </c>
      <c r="R251" s="43" t="s">
        <v>72</v>
      </c>
      <c r="S251" s="43" t="s">
        <v>329</v>
      </c>
      <c r="T251" s="61" t="s">
        <v>42</v>
      </c>
      <c r="U251" s="40" t="s">
        <v>289</v>
      </c>
      <c r="V251" s="40" t="s">
        <v>74</v>
      </c>
      <c r="Z251" s="45">
        <v>43435.0</v>
      </c>
    </row>
    <row r="252">
      <c r="A252" s="81" t="s">
        <v>1167</v>
      </c>
      <c r="B252" s="1" t="s">
        <v>1168</v>
      </c>
      <c r="C252" s="33">
        <v>8876.2</v>
      </c>
      <c r="D252" s="34" t="str">
        <f>HYPERLINK("https://osu.ppy.sh/u/6107833","Helikaze")</f>
        <v>Helikaze</v>
      </c>
      <c r="E252" s="41" t="s">
        <v>28</v>
      </c>
      <c r="F252" s="48" t="s">
        <v>105</v>
      </c>
      <c r="G252" s="48" t="s">
        <v>29</v>
      </c>
      <c r="H252" s="48" t="s">
        <v>723</v>
      </c>
      <c r="I252" s="48" t="s">
        <v>404</v>
      </c>
      <c r="J252" s="59" t="s">
        <v>32</v>
      </c>
      <c r="K252" s="1" t="s">
        <v>33</v>
      </c>
      <c r="L252" s="1" t="s">
        <v>536</v>
      </c>
      <c r="M252" s="1" t="s">
        <v>238</v>
      </c>
      <c r="N252" s="1" t="s">
        <v>696</v>
      </c>
      <c r="O252" s="75" t="s">
        <v>70</v>
      </c>
      <c r="P252" s="72">
        <v>126.0</v>
      </c>
      <c r="Q252" s="73">
        <v>128.0</v>
      </c>
      <c r="R252" s="73">
        <v>76.0</v>
      </c>
      <c r="S252" s="73">
        <v>42.0</v>
      </c>
      <c r="T252" s="52" t="s">
        <v>42</v>
      </c>
      <c r="U252" s="1" t="s">
        <v>1169</v>
      </c>
      <c r="V252" s="1" t="s">
        <v>203</v>
      </c>
      <c r="Z252" s="45">
        <v>43282.0</v>
      </c>
    </row>
    <row r="253">
      <c r="A253" s="81" t="s">
        <v>1170</v>
      </c>
      <c r="B253" s="1" t="s">
        <v>1171</v>
      </c>
      <c r="C253" s="33">
        <v>8856.86</v>
      </c>
      <c r="D253" s="34" t="str">
        <f>HYPERLINK("https://osu.ppy.sh/u/2194763","Antares-")</f>
        <v>Antares-</v>
      </c>
      <c r="E253" s="55" t="s">
        <v>28</v>
      </c>
      <c r="F253" s="58">
        <v>1160.0</v>
      </c>
      <c r="G253" s="48" t="s">
        <v>1172</v>
      </c>
      <c r="H253" s="48" t="s">
        <v>67</v>
      </c>
      <c r="I253" s="48" t="s">
        <v>98</v>
      </c>
      <c r="J253" s="54"/>
      <c r="K253" s="60"/>
      <c r="L253" s="48" t="s">
        <v>1173</v>
      </c>
      <c r="M253" s="1" t="s">
        <v>199</v>
      </c>
      <c r="O253" s="35" t="s">
        <v>201</v>
      </c>
      <c r="P253" s="72">
        <v>103.0</v>
      </c>
      <c r="Q253" s="73">
        <v>136.0</v>
      </c>
      <c r="R253" s="73">
        <v>72.0</v>
      </c>
      <c r="S253" s="73">
        <v>41.0</v>
      </c>
      <c r="T253" s="61" t="s">
        <v>42</v>
      </c>
      <c r="U253" s="55" t="s">
        <v>117</v>
      </c>
      <c r="V253" s="1" t="s">
        <v>74</v>
      </c>
    </row>
    <row r="254">
      <c r="A254" s="81" t="s">
        <v>235</v>
      </c>
      <c r="B254" s="1" t="s">
        <v>1174</v>
      </c>
      <c r="C254" s="33">
        <v>8850.82</v>
      </c>
      <c r="D254" s="34" t="str">
        <f>HYPERLINK("https://osu.ppy.sh/u/6468829","SuperSquirrel51")</f>
        <v>SuperSquirrel51</v>
      </c>
      <c r="E254" s="35" t="s">
        <v>28</v>
      </c>
      <c r="F254" s="48" t="s">
        <v>1175</v>
      </c>
      <c r="G254" s="37" t="s">
        <v>29</v>
      </c>
      <c r="H254" s="48" t="s">
        <v>67</v>
      </c>
      <c r="I254" s="48" t="s">
        <v>31</v>
      </c>
      <c r="J254" s="59" t="s">
        <v>32</v>
      </c>
      <c r="K254" s="39">
        <v>1000.0</v>
      </c>
      <c r="L254" s="1" t="s">
        <v>312</v>
      </c>
      <c r="M254" s="55" t="s">
        <v>199</v>
      </c>
      <c r="N254" s="55" t="s">
        <v>179</v>
      </c>
      <c r="O254" s="35" t="s">
        <v>201</v>
      </c>
      <c r="P254" s="72">
        <v>103.0</v>
      </c>
      <c r="Q254" s="73">
        <v>136.0</v>
      </c>
      <c r="R254" s="73">
        <v>72.0</v>
      </c>
      <c r="S254" s="73">
        <v>41.0</v>
      </c>
      <c r="T254" s="61" t="s">
        <v>42</v>
      </c>
      <c r="U254" s="55" t="s">
        <v>1176</v>
      </c>
      <c r="V254" s="55" t="s">
        <v>491</v>
      </c>
      <c r="Z254" s="45"/>
      <c r="AA254" s="57"/>
    </row>
    <row r="255">
      <c r="A255" s="81" t="s">
        <v>1177</v>
      </c>
      <c r="B255" s="41" t="s">
        <v>1178</v>
      </c>
      <c r="C255" s="46">
        <v>8844.92</v>
      </c>
      <c r="D255" s="62" t="str">
        <f>HYPERLINK("https://osu.ppy.sh/u/3974292","blourgh")</f>
        <v>blourgh</v>
      </c>
      <c r="E255" s="55" t="s">
        <v>28</v>
      </c>
      <c r="F255" s="58" t="s">
        <v>105</v>
      </c>
      <c r="G255" s="48" t="s">
        <v>1179</v>
      </c>
      <c r="H255" s="48" t="s">
        <v>67</v>
      </c>
      <c r="I255" s="48" t="s">
        <v>242</v>
      </c>
      <c r="J255" s="59" t="s">
        <v>32</v>
      </c>
      <c r="K255" s="60"/>
      <c r="L255" s="53"/>
      <c r="M255" s="1" t="s">
        <v>396</v>
      </c>
      <c r="N255" s="1" t="s">
        <v>1180</v>
      </c>
      <c r="O255" s="1" t="s">
        <v>52</v>
      </c>
      <c r="P255" s="85">
        <v>85.0</v>
      </c>
      <c r="Q255" s="86">
        <v>124.0</v>
      </c>
      <c r="R255" s="87">
        <v>58.0</v>
      </c>
      <c r="S255" s="87">
        <v>36.0</v>
      </c>
      <c r="T255" s="53"/>
      <c r="U255" s="55" t="s">
        <v>1181</v>
      </c>
      <c r="V255" s="1" t="s">
        <v>89</v>
      </c>
    </row>
    <row r="256">
      <c r="A256" s="81" t="s">
        <v>1182</v>
      </c>
      <c r="B256" s="1" t="s">
        <v>1183</v>
      </c>
      <c r="C256" s="33">
        <v>8843.27</v>
      </c>
      <c r="D256" s="94" t="str">
        <f>HYPERLINK("https://osu.ppy.sh/u/11472824","Hanamii")</f>
        <v>Hanamii</v>
      </c>
      <c r="E256" s="1" t="s">
        <v>28</v>
      </c>
      <c r="F256" s="48" t="s">
        <v>1002</v>
      </c>
      <c r="G256" s="48" t="s">
        <v>29</v>
      </c>
      <c r="H256" s="48" t="s">
        <v>67</v>
      </c>
      <c r="I256" s="48" t="s">
        <v>31</v>
      </c>
      <c r="J256" s="59" t="s">
        <v>32</v>
      </c>
      <c r="K256" s="48" t="s">
        <v>33</v>
      </c>
      <c r="L256" s="1" t="s">
        <v>312</v>
      </c>
      <c r="M256" s="1" t="s">
        <v>139</v>
      </c>
      <c r="N256" s="1" t="s">
        <v>92</v>
      </c>
      <c r="O256" s="40" t="s">
        <v>141</v>
      </c>
      <c r="P256" s="42" t="s">
        <v>71</v>
      </c>
      <c r="Q256" s="43" t="s">
        <v>39</v>
      </c>
      <c r="R256" s="43" t="s">
        <v>72</v>
      </c>
      <c r="S256" s="43" t="s">
        <v>41</v>
      </c>
      <c r="T256" s="40" t="s">
        <v>42</v>
      </c>
      <c r="U256" s="1" t="s">
        <v>977</v>
      </c>
      <c r="Z256" s="45">
        <v>43647.0</v>
      </c>
    </row>
    <row r="257">
      <c r="A257" s="81" t="s">
        <v>1184</v>
      </c>
      <c r="B257" s="41" t="s">
        <v>1185</v>
      </c>
      <c r="C257" s="46">
        <v>8830.29</v>
      </c>
      <c r="D257" s="62" t="str">
        <f>HYPERLINK("https://osu.ppy.sh/u/2772381","Dokie")</f>
        <v>Dokie</v>
      </c>
      <c r="E257" s="35" t="s">
        <v>28</v>
      </c>
      <c r="F257" s="63">
        <v>800.0</v>
      </c>
      <c r="G257" s="66" t="s">
        <v>29</v>
      </c>
      <c r="H257" s="65" t="s">
        <v>1186</v>
      </c>
      <c r="I257" s="66" t="s">
        <v>31</v>
      </c>
      <c r="J257" s="70" t="s">
        <v>32</v>
      </c>
      <c r="K257" s="82"/>
      <c r="L257" s="52" t="s">
        <v>1187</v>
      </c>
      <c r="M257" s="41" t="s">
        <v>1188</v>
      </c>
      <c r="N257" s="41" t="s">
        <v>474</v>
      </c>
      <c r="O257" s="131" t="s">
        <v>1189</v>
      </c>
      <c r="P257" s="132">
        <v>120.0</v>
      </c>
      <c r="Q257" s="92">
        <v>124.0</v>
      </c>
      <c r="R257" s="92">
        <v>69.0</v>
      </c>
      <c r="S257" s="92">
        <v>40.0</v>
      </c>
      <c r="T257" s="52" t="s">
        <v>1190</v>
      </c>
      <c r="U257" s="41" t="s">
        <v>1191</v>
      </c>
      <c r="V257" s="41" t="s">
        <v>74</v>
      </c>
      <c r="Z257" s="45">
        <v>42795.0</v>
      </c>
    </row>
    <row r="258">
      <c r="A258" s="81" t="s">
        <v>241</v>
      </c>
      <c r="B258" s="1" t="s">
        <v>1192</v>
      </c>
      <c r="C258" s="33">
        <v>8824.5</v>
      </c>
      <c r="D258" s="34" t="str">
        <f>HYPERLINK("https://osu.ppy.sh/u/6512857","vitail")</f>
        <v>vitail</v>
      </c>
      <c r="E258" s="41"/>
      <c r="F258" s="53"/>
      <c r="G258" s="53"/>
      <c r="H258" s="53"/>
      <c r="I258" s="53"/>
      <c r="J258" s="54"/>
      <c r="K258" s="53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Z258" s="45"/>
      <c r="AA258" s="57"/>
    </row>
    <row r="259">
      <c r="A259" s="81" t="s">
        <v>1193</v>
      </c>
      <c r="B259" s="1" t="s">
        <v>1194</v>
      </c>
      <c r="C259" s="33">
        <v>8817.41</v>
      </c>
      <c r="D259" s="34" t="str">
        <f>HYPERLINK("https://osu.ppy.sh/u/8059468","Savilju")</f>
        <v>Savilju</v>
      </c>
      <c r="E259" s="1" t="s">
        <v>28</v>
      </c>
      <c r="F259" s="58">
        <v>800.0</v>
      </c>
      <c r="G259" s="48" t="s">
        <v>29</v>
      </c>
      <c r="H259" s="48" t="s">
        <v>1195</v>
      </c>
      <c r="I259" s="48" t="s">
        <v>31</v>
      </c>
      <c r="J259" s="59" t="s">
        <v>32</v>
      </c>
      <c r="K259" s="48" t="s">
        <v>81</v>
      </c>
      <c r="L259" s="1" t="s">
        <v>114</v>
      </c>
      <c r="M259" s="55" t="s">
        <v>364</v>
      </c>
      <c r="N259" s="55" t="s">
        <v>174</v>
      </c>
      <c r="O259" s="41" t="s">
        <v>365</v>
      </c>
      <c r="P259" s="85" t="s">
        <v>366</v>
      </c>
      <c r="Q259" s="87" t="s">
        <v>367</v>
      </c>
      <c r="R259" s="87" t="s">
        <v>347</v>
      </c>
      <c r="S259" s="87" t="s">
        <v>368</v>
      </c>
      <c r="T259" s="61" t="s">
        <v>42</v>
      </c>
      <c r="U259" s="55" t="s">
        <v>1196</v>
      </c>
      <c r="V259" s="55" t="s">
        <v>89</v>
      </c>
      <c r="Z259" s="45">
        <v>44075.0</v>
      </c>
      <c r="AA259" s="57"/>
    </row>
    <row r="260">
      <c r="A260" s="81" t="s">
        <v>1197</v>
      </c>
      <c r="B260" s="1" t="s">
        <v>1198</v>
      </c>
      <c r="C260" s="33">
        <v>8808.94</v>
      </c>
      <c r="D260" s="34" t="str">
        <f>HYPERLINK("https://osu.ppy.sh/u/11172360","she gon peg me")</f>
        <v>she gon peg me</v>
      </c>
      <c r="E260" s="61" t="s">
        <v>28</v>
      </c>
      <c r="F260" s="48" t="s">
        <v>791</v>
      </c>
      <c r="G260" s="48" t="s">
        <v>29</v>
      </c>
      <c r="H260" s="48" t="s">
        <v>527</v>
      </c>
      <c r="I260" s="48" t="s">
        <v>404</v>
      </c>
      <c r="J260" s="59" t="s">
        <v>32</v>
      </c>
      <c r="K260" s="48" t="s">
        <v>33</v>
      </c>
      <c r="L260" s="1" t="s">
        <v>243</v>
      </c>
      <c r="M260" s="55" t="s">
        <v>1199</v>
      </c>
      <c r="N260" s="55" t="s">
        <v>174</v>
      </c>
      <c r="O260" s="55" t="s">
        <v>701</v>
      </c>
      <c r="P260" s="48" t="s">
        <v>1200</v>
      </c>
      <c r="Q260" s="48" t="s">
        <v>39</v>
      </c>
      <c r="R260" s="48" t="s">
        <v>86</v>
      </c>
      <c r="S260" s="48" t="s">
        <v>41</v>
      </c>
      <c r="T260" s="44" t="s">
        <v>42</v>
      </c>
      <c r="U260" s="55" t="s">
        <v>645</v>
      </c>
      <c r="V260" s="55" t="s">
        <v>491</v>
      </c>
      <c r="Z260" s="45">
        <v>44013.0</v>
      </c>
      <c r="AA260" s="57"/>
    </row>
    <row r="261">
      <c r="A261" s="81" t="s">
        <v>1201</v>
      </c>
      <c r="B261" s="1" t="s">
        <v>1202</v>
      </c>
      <c r="C261" s="33">
        <v>8804.69</v>
      </c>
      <c r="D261" s="34" t="str">
        <f>HYPERLINK("https://osu.ppy.sh/u/4887814","Fuwzie")</f>
        <v>Fuwzie</v>
      </c>
      <c r="E261" s="52" t="s">
        <v>28</v>
      </c>
      <c r="F261" s="58" t="s">
        <v>105</v>
      </c>
      <c r="G261" s="48" t="s">
        <v>29</v>
      </c>
      <c r="H261" s="48" t="s">
        <v>67</v>
      </c>
      <c r="I261" s="48" t="s">
        <v>31</v>
      </c>
      <c r="J261" s="59" t="s">
        <v>192</v>
      </c>
      <c r="K261" s="74" t="s">
        <v>81</v>
      </c>
      <c r="L261" s="61" t="s">
        <v>222</v>
      </c>
      <c r="M261" s="1" t="s">
        <v>485</v>
      </c>
      <c r="N261" s="1" t="s">
        <v>61</v>
      </c>
      <c r="P261" s="91"/>
      <c r="Q261" s="92"/>
      <c r="R261" s="92"/>
      <c r="S261" s="92"/>
      <c r="U261" s="35" t="s">
        <v>1203</v>
      </c>
      <c r="V261" s="75" t="s">
        <v>74</v>
      </c>
      <c r="Z261" s="45"/>
    </row>
    <row r="262">
      <c r="A262" s="81" t="s">
        <v>1204</v>
      </c>
      <c r="B262" s="40" t="s">
        <v>1205</v>
      </c>
      <c r="C262" s="46">
        <v>8798.15</v>
      </c>
      <c r="D262" s="47" t="str">
        <f>HYPERLINK("https://osu.ppy.sh/u/942748","Pyonta")</f>
        <v>Pyonta</v>
      </c>
      <c r="E262" s="44" t="s">
        <v>571</v>
      </c>
      <c r="F262" s="63">
        <v>1000.0</v>
      </c>
      <c r="G262" s="64" t="s">
        <v>29</v>
      </c>
      <c r="H262" s="64" t="s">
        <v>67</v>
      </c>
      <c r="I262" s="64" t="s">
        <v>31</v>
      </c>
      <c r="J262" s="67" t="s">
        <v>192</v>
      </c>
      <c r="K262" s="115"/>
      <c r="L262" s="44" t="s">
        <v>417</v>
      </c>
      <c r="M262" s="75" t="s">
        <v>658</v>
      </c>
      <c r="N262" s="75" t="s">
        <v>696</v>
      </c>
      <c r="O262" s="75" t="s">
        <v>52</v>
      </c>
      <c r="P262" s="72">
        <v>102.0</v>
      </c>
      <c r="Q262" s="73">
        <v>131.0</v>
      </c>
      <c r="R262" s="73">
        <v>72.0</v>
      </c>
      <c r="S262" s="73">
        <v>42.0</v>
      </c>
      <c r="T262" s="44" t="s">
        <v>218</v>
      </c>
      <c r="U262" s="133" t="s">
        <v>977</v>
      </c>
      <c r="V262" s="133" t="s">
        <v>94</v>
      </c>
    </row>
    <row r="263">
      <c r="A263" s="81" t="s">
        <v>1206</v>
      </c>
      <c r="B263" s="1" t="s">
        <v>1207</v>
      </c>
      <c r="C263" s="33">
        <v>8794.62</v>
      </c>
      <c r="D263" s="34" t="str">
        <f>HYPERLINK("https://osu.ppy.sh/u/8397722","jungle boobies")</f>
        <v>jungle boobies</v>
      </c>
      <c r="E263" s="52" t="s">
        <v>28</v>
      </c>
      <c r="F263" s="48" t="s">
        <v>171</v>
      </c>
      <c r="G263" s="48" t="s">
        <v>29</v>
      </c>
      <c r="H263" s="48" t="s">
        <v>67</v>
      </c>
      <c r="I263" s="48" t="s">
        <v>1208</v>
      </c>
      <c r="J263" s="59" t="s">
        <v>32</v>
      </c>
      <c r="K263" s="48" t="s">
        <v>33</v>
      </c>
      <c r="L263" s="1" t="s">
        <v>68</v>
      </c>
      <c r="M263" s="55" t="s">
        <v>1209</v>
      </c>
      <c r="N263" s="55" t="s">
        <v>1088</v>
      </c>
      <c r="O263" s="1" t="s">
        <v>141</v>
      </c>
      <c r="P263" s="85" t="s">
        <v>71</v>
      </c>
      <c r="Q263" s="86" t="s">
        <v>39</v>
      </c>
      <c r="R263" s="86" t="s">
        <v>72</v>
      </c>
      <c r="S263" s="86" t="s">
        <v>41</v>
      </c>
      <c r="T263" s="52" t="s">
        <v>42</v>
      </c>
      <c r="U263" s="56"/>
      <c r="V263" s="56"/>
      <c r="Z263" s="45">
        <v>44136.0</v>
      </c>
      <c r="AA263" s="57"/>
    </row>
    <row r="264">
      <c r="A264" s="81" t="s">
        <v>1210</v>
      </c>
      <c r="B264" s="1" t="s">
        <v>1211</v>
      </c>
      <c r="C264" s="33">
        <v>8783.45</v>
      </c>
      <c r="D264" s="34" t="str">
        <f>HYPERLINK("https://osu.ppy.sh/u/4663676","_NotSoFast_")</f>
        <v>_NotSoFast_</v>
      </c>
      <c r="E264" s="1" t="s">
        <v>28</v>
      </c>
      <c r="F264" s="48" t="s">
        <v>58</v>
      </c>
      <c r="G264" s="64" t="s">
        <v>29</v>
      </c>
      <c r="H264" s="48" t="s">
        <v>67</v>
      </c>
      <c r="I264" s="48" t="s">
        <v>267</v>
      </c>
      <c r="J264" s="59" t="s">
        <v>32</v>
      </c>
      <c r="K264" s="48" t="s">
        <v>81</v>
      </c>
      <c r="L264" s="1" t="s">
        <v>114</v>
      </c>
      <c r="M264" s="55" t="s">
        <v>185</v>
      </c>
      <c r="N264" s="1" t="s">
        <v>61</v>
      </c>
      <c r="O264" s="40" t="s">
        <v>141</v>
      </c>
      <c r="P264" s="42" t="s">
        <v>187</v>
      </c>
      <c r="Q264" s="43" t="s">
        <v>39</v>
      </c>
      <c r="R264" s="43" t="s">
        <v>72</v>
      </c>
      <c r="S264" s="43" t="s">
        <v>41</v>
      </c>
      <c r="T264" s="40" t="s">
        <v>42</v>
      </c>
      <c r="U264" s="55" t="s">
        <v>1212</v>
      </c>
      <c r="V264" s="55" t="s">
        <v>63</v>
      </c>
      <c r="Z264" s="45">
        <v>43466.0</v>
      </c>
      <c r="AA264" s="57"/>
    </row>
    <row r="265">
      <c r="A265" s="81" t="s">
        <v>1213</v>
      </c>
      <c r="B265" s="41" t="s">
        <v>1214</v>
      </c>
      <c r="C265" s="46">
        <v>8771.09</v>
      </c>
      <c r="D265" s="47" t="str">
        <f>HYPERLINK("https://osu.ppy.sh/u/8759374","mahloola")</f>
        <v>mahloola</v>
      </c>
      <c r="E265" s="52" t="s">
        <v>28</v>
      </c>
      <c r="F265" s="36">
        <v>1100.0</v>
      </c>
      <c r="G265" s="101"/>
      <c r="H265" s="37" t="s">
        <v>820</v>
      </c>
      <c r="I265" s="37" t="s">
        <v>31</v>
      </c>
      <c r="J265" s="49"/>
      <c r="K265" s="82"/>
      <c r="L265" s="69"/>
      <c r="M265" s="40" t="s">
        <v>108</v>
      </c>
      <c r="N265" s="69"/>
      <c r="O265" s="69"/>
      <c r="P265" s="79"/>
      <c r="Q265" s="80"/>
      <c r="R265" s="80"/>
      <c r="S265" s="80"/>
      <c r="T265" s="69"/>
      <c r="U265" s="69"/>
      <c r="V265" s="69"/>
      <c r="AA265" s="57"/>
    </row>
    <row r="266">
      <c r="A266" s="81" t="s">
        <v>1215</v>
      </c>
      <c r="B266" s="1" t="s">
        <v>1216</v>
      </c>
      <c r="C266" s="33">
        <v>8748.76</v>
      </c>
      <c r="D266" s="34" t="str">
        <f>HYPERLINK("https://osu.ppy.sh/u/5412070","MujouSekai")</f>
        <v>MujouSekai</v>
      </c>
      <c r="E266" s="41" t="s">
        <v>28</v>
      </c>
      <c r="F266" s="134"/>
      <c r="G266" s="66"/>
      <c r="H266" s="66"/>
      <c r="I266" s="66"/>
      <c r="J266" s="70"/>
      <c r="K266" s="82"/>
      <c r="L266" s="61"/>
      <c r="M266" s="35"/>
      <c r="N266" s="35"/>
      <c r="O266" s="69"/>
      <c r="P266" s="79"/>
      <c r="Q266" s="80"/>
      <c r="R266" s="80"/>
      <c r="S266" s="80"/>
      <c r="T266" s="69"/>
      <c r="U266" s="35"/>
      <c r="V266" s="35"/>
    </row>
    <row r="267">
      <c r="A267" s="81" t="s">
        <v>1217</v>
      </c>
      <c r="B267" s="41" t="s">
        <v>1218</v>
      </c>
      <c r="C267" s="46">
        <v>8740.81</v>
      </c>
      <c r="D267" s="105" t="str">
        <f>HYPERLINK("https://osu.ppy.sh/u/5857283","Dislike12574")</f>
        <v>Dislike12574</v>
      </c>
      <c r="E267" s="41" t="s">
        <v>28</v>
      </c>
      <c r="G267" s="53"/>
      <c r="I267" s="53"/>
      <c r="J267" s="54"/>
    </row>
    <row r="268">
      <c r="A268" s="81" t="s">
        <v>246</v>
      </c>
      <c r="B268" s="1" t="s">
        <v>1219</v>
      </c>
      <c r="C268" s="33">
        <v>8720.51</v>
      </c>
      <c r="D268" s="34" t="str">
        <f>HYPERLINK("https://osu.ppy.sh/u/3070694","Zenden")</f>
        <v>Zenden</v>
      </c>
      <c r="E268" s="41" t="s">
        <v>28</v>
      </c>
      <c r="G268" s="53"/>
      <c r="I268" s="53"/>
      <c r="J268" s="54"/>
    </row>
    <row r="269">
      <c r="A269" s="81" t="s">
        <v>254</v>
      </c>
      <c r="B269" s="41" t="s">
        <v>1220</v>
      </c>
      <c r="C269" s="46">
        <v>8718.67</v>
      </c>
      <c r="D269" s="116" t="str">
        <f>HYPERLINK("https://osu.ppy.sh/u/8415915","AzureHarp")</f>
        <v>AzureHarp</v>
      </c>
      <c r="E269" s="41"/>
      <c r="F269" s="63"/>
      <c r="G269" s="65"/>
      <c r="H269" s="65"/>
      <c r="I269" s="65"/>
      <c r="J269" s="89"/>
      <c r="K269" s="71"/>
      <c r="L269" s="52"/>
      <c r="M269" s="35"/>
      <c r="N269" s="41"/>
      <c r="O269" s="35"/>
      <c r="P269" s="72"/>
      <c r="Q269" s="73"/>
      <c r="R269" s="73"/>
      <c r="S269" s="73"/>
      <c r="T269" s="61"/>
      <c r="U269" s="75"/>
      <c r="V269" s="75"/>
      <c r="Z269" s="45"/>
    </row>
    <row r="270">
      <c r="A270" s="81" t="s">
        <v>1221</v>
      </c>
      <c r="B270" s="1" t="s">
        <v>1222</v>
      </c>
      <c r="C270" s="33">
        <v>8718.35</v>
      </c>
      <c r="D270" s="34" t="str">
        <f>HYPERLINK("https://osu.ppy.sh/u/9500951","grizzlypng")</f>
        <v>grizzlypng</v>
      </c>
      <c r="E270" s="41" t="s">
        <v>28</v>
      </c>
      <c r="F270" s="48" t="s">
        <v>340</v>
      </c>
      <c r="G270" s="48" t="s">
        <v>29</v>
      </c>
      <c r="H270" s="48" t="s">
        <v>1223</v>
      </c>
      <c r="I270" s="37" t="s">
        <v>31</v>
      </c>
      <c r="J270" s="38" t="s">
        <v>32</v>
      </c>
      <c r="K270" s="39">
        <v>1000.0</v>
      </c>
      <c r="L270" s="1" t="s">
        <v>272</v>
      </c>
      <c r="M270" s="55" t="s">
        <v>100</v>
      </c>
      <c r="N270" s="55" t="s">
        <v>1224</v>
      </c>
      <c r="O270" s="35" t="s">
        <v>101</v>
      </c>
      <c r="P270" s="72">
        <v>105.0</v>
      </c>
      <c r="Q270" s="73">
        <v>127.0</v>
      </c>
      <c r="R270" s="73">
        <v>70.0</v>
      </c>
      <c r="S270" s="73">
        <v>44.0</v>
      </c>
      <c r="T270" s="61" t="s">
        <v>42</v>
      </c>
      <c r="U270" s="55" t="s">
        <v>1225</v>
      </c>
      <c r="V270" s="55" t="s">
        <v>89</v>
      </c>
      <c r="Z270" s="45">
        <v>44105.0</v>
      </c>
      <c r="AA270" s="57"/>
    </row>
    <row r="271">
      <c r="A271" s="81" t="s">
        <v>261</v>
      </c>
      <c r="B271" s="41" t="s">
        <v>1226</v>
      </c>
      <c r="C271" s="46">
        <v>8701.15</v>
      </c>
      <c r="D271" s="105" t="str">
        <f>HYPERLINK("https://osu.ppy.sh/u/6258472","vindit")</f>
        <v>vindit</v>
      </c>
      <c r="E271" s="40" t="s">
        <v>571</v>
      </c>
      <c r="F271" s="36">
        <v>1050.0</v>
      </c>
      <c r="G271" s="37" t="s">
        <v>29</v>
      </c>
      <c r="H271" s="37" t="s">
        <v>67</v>
      </c>
      <c r="I271" s="37" t="s">
        <v>31</v>
      </c>
      <c r="J271" s="38" t="s">
        <v>192</v>
      </c>
      <c r="K271" s="39">
        <v>1000.0</v>
      </c>
      <c r="L271" s="40" t="s">
        <v>305</v>
      </c>
      <c r="M271" s="40" t="s">
        <v>485</v>
      </c>
      <c r="N271" s="40" t="s">
        <v>1227</v>
      </c>
      <c r="O271" s="35" t="s">
        <v>52</v>
      </c>
      <c r="P271" s="72">
        <v>130.0</v>
      </c>
      <c r="Q271" s="73">
        <v>133.0</v>
      </c>
      <c r="R271" s="73">
        <v>70.0</v>
      </c>
      <c r="S271" s="73">
        <v>46.0</v>
      </c>
      <c r="T271" s="61" t="s">
        <v>218</v>
      </c>
      <c r="U271" s="135" t="s">
        <v>1228</v>
      </c>
      <c r="V271" s="135" t="s">
        <v>1229</v>
      </c>
      <c r="Z271" s="45">
        <v>42887.0</v>
      </c>
    </row>
    <row r="272">
      <c r="A272" s="81" t="s">
        <v>266</v>
      </c>
      <c r="B272" s="41" t="s">
        <v>1230</v>
      </c>
      <c r="C272" s="46">
        <v>8698.98</v>
      </c>
      <c r="D272" s="116" t="str">
        <f>HYPERLINK("https://osu.ppy.sh/u/9024016","Evill")</f>
        <v>Evill</v>
      </c>
      <c r="E272" s="41" t="s">
        <v>28</v>
      </c>
      <c r="F272" s="63" t="s">
        <v>58</v>
      </c>
      <c r="G272" s="65" t="s">
        <v>29</v>
      </c>
      <c r="H272" s="65" t="s">
        <v>67</v>
      </c>
      <c r="I272" s="65" t="s">
        <v>31</v>
      </c>
      <c r="J272" s="89" t="s">
        <v>32</v>
      </c>
      <c r="K272" s="71" t="s">
        <v>33</v>
      </c>
      <c r="L272" s="52" t="s">
        <v>257</v>
      </c>
      <c r="M272" s="41" t="s">
        <v>173</v>
      </c>
      <c r="N272" s="41" t="s">
        <v>179</v>
      </c>
      <c r="O272" s="1" t="s">
        <v>121</v>
      </c>
      <c r="P272" s="42" t="s">
        <v>84</v>
      </c>
      <c r="Q272" s="43" t="s">
        <v>175</v>
      </c>
      <c r="R272" s="43" t="s">
        <v>86</v>
      </c>
      <c r="S272" s="43" t="s">
        <v>41</v>
      </c>
      <c r="T272" s="61" t="s">
        <v>42</v>
      </c>
      <c r="U272" s="41" t="s">
        <v>1231</v>
      </c>
      <c r="V272" s="41" t="s">
        <v>74</v>
      </c>
      <c r="Z272" s="45">
        <v>43922.0</v>
      </c>
    </row>
    <row r="273">
      <c r="A273" s="81" t="s">
        <v>1232</v>
      </c>
      <c r="B273" s="1" t="s">
        <v>1233</v>
      </c>
      <c r="C273" s="33">
        <v>8676.53</v>
      </c>
      <c r="D273" s="34" t="str">
        <f>HYPERLINK("https://osu.ppy.sh/u/2061326","oitaN")</f>
        <v>oitaN</v>
      </c>
      <c r="E273" s="52" t="s">
        <v>571</v>
      </c>
      <c r="F273" s="58" t="s">
        <v>47</v>
      </c>
      <c r="G273" s="48" t="s">
        <v>29</v>
      </c>
      <c r="H273" s="48" t="s">
        <v>1234</v>
      </c>
      <c r="I273" s="48" t="s">
        <v>311</v>
      </c>
      <c r="J273" s="59" t="s">
        <v>32</v>
      </c>
      <c r="K273" s="74" t="s">
        <v>33</v>
      </c>
      <c r="M273" s="1" t="s">
        <v>1235</v>
      </c>
      <c r="N273" s="1" t="s">
        <v>1236</v>
      </c>
      <c r="O273" s="1" t="s">
        <v>121</v>
      </c>
      <c r="P273" s="91"/>
      <c r="Q273" s="87" t="s">
        <v>175</v>
      </c>
      <c r="R273" s="87" t="s">
        <v>250</v>
      </c>
      <c r="S273" s="87" t="s">
        <v>251</v>
      </c>
      <c r="Z273" s="45"/>
    </row>
    <row r="274">
      <c r="A274" s="81" t="s">
        <v>1237</v>
      </c>
      <c r="B274" s="1" t="s">
        <v>1238</v>
      </c>
      <c r="C274" s="33">
        <v>8671.23</v>
      </c>
      <c r="D274" s="34" t="str">
        <f>HYPERLINK("https://osu.ppy.sh/u/1592426","Sorixx")</f>
        <v>Sorixx</v>
      </c>
      <c r="E274" s="1" t="s">
        <v>28</v>
      </c>
      <c r="F274" s="58" t="s">
        <v>303</v>
      </c>
      <c r="G274" s="48" t="s">
        <v>1239</v>
      </c>
      <c r="H274" s="48" t="s">
        <v>67</v>
      </c>
      <c r="I274" s="48" t="s">
        <v>31</v>
      </c>
      <c r="J274" s="59" t="s">
        <v>32</v>
      </c>
      <c r="K274" s="74" t="s">
        <v>33</v>
      </c>
      <c r="L274" s="1" t="s">
        <v>848</v>
      </c>
      <c r="M274" s="1" t="s">
        <v>238</v>
      </c>
      <c r="N274" s="1" t="s">
        <v>1240</v>
      </c>
      <c r="P274" s="91"/>
      <c r="Q274" s="92"/>
      <c r="R274" s="92"/>
      <c r="S274" s="92"/>
      <c r="U274" s="1" t="s">
        <v>117</v>
      </c>
      <c r="Z274" s="45">
        <v>43282.0</v>
      </c>
    </row>
    <row r="275">
      <c r="A275" s="81" t="s">
        <v>1241</v>
      </c>
      <c r="B275" s="1" t="s">
        <v>1242</v>
      </c>
      <c r="C275" s="33">
        <v>8671.2</v>
      </c>
      <c r="D275" s="94" t="str">
        <f>HYPERLINK("https://osu.ppy.sh/u/5981363","Disappear")</f>
        <v>Disappear</v>
      </c>
      <c r="E275" s="1" t="s">
        <v>28</v>
      </c>
      <c r="F275" s="58" t="s">
        <v>105</v>
      </c>
      <c r="G275" s="48" t="s">
        <v>29</v>
      </c>
      <c r="H275" s="48" t="s">
        <v>67</v>
      </c>
      <c r="I275" s="37" t="s">
        <v>31</v>
      </c>
      <c r="J275" s="59" t="s">
        <v>32</v>
      </c>
      <c r="K275" s="74" t="s">
        <v>81</v>
      </c>
      <c r="L275" s="40" t="s">
        <v>222</v>
      </c>
      <c r="M275" s="1" t="s">
        <v>199</v>
      </c>
      <c r="N275" s="1" t="s">
        <v>1243</v>
      </c>
      <c r="O275" s="35" t="s">
        <v>201</v>
      </c>
      <c r="P275" s="72">
        <v>103.0</v>
      </c>
      <c r="Q275" s="73">
        <v>136.0</v>
      </c>
      <c r="R275" s="73">
        <v>72.0</v>
      </c>
      <c r="S275" s="73">
        <v>41.0</v>
      </c>
      <c r="T275" s="61" t="s">
        <v>42</v>
      </c>
      <c r="U275" s="40" t="s">
        <v>1244</v>
      </c>
      <c r="V275" s="40" t="s">
        <v>63</v>
      </c>
      <c r="Z275" s="45">
        <v>43040.0</v>
      </c>
    </row>
    <row r="276">
      <c r="A276" s="81" t="s">
        <v>1245</v>
      </c>
      <c r="B276" s="41" t="s">
        <v>1246</v>
      </c>
      <c r="C276" s="46">
        <v>8671.19</v>
      </c>
      <c r="D276" s="62" t="str">
        <f>HYPERLINK("https://osu.ppy.sh/u/7088349","Kondou-Shinichi")</f>
        <v>Kondou-Shinichi</v>
      </c>
      <c r="E276" s="1" t="s">
        <v>28</v>
      </c>
      <c r="F276" s="58" t="s">
        <v>340</v>
      </c>
      <c r="G276" s="48" t="s">
        <v>29</v>
      </c>
      <c r="H276" s="48" t="s">
        <v>1247</v>
      </c>
      <c r="I276" s="48" t="s">
        <v>404</v>
      </c>
      <c r="J276" s="54"/>
      <c r="K276" s="136" t="s">
        <v>33</v>
      </c>
      <c r="M276" s="1" t="s">
        <v>902</v>
      </c>
      <c r="N276" s="1" t="s">
        <v>1248</v>
      </c>
      <c r="P276" s="91"/>
      <c r="Q276" s="92"/>
      <c r="R276" s="92"/>
      <c r="S276" s="92"/>
      <c r="U276" s="1" t="s">
        <v>977</v>
      </c>
      <c r="V276" s="1" t="s">
        <v>44</v>
      </c>
      <c r="Z276" s="45">
        <v>43101.0</v>
      </c>
    </row>
    <row r="277">
      <c r="A277" s="81" t="s">
        <v>1249</v>
      </c>
      <c r="B277" s="41" t="s">
        <v>1250</v>
      </c>
      <c r="C277" s="46">
        <v>8665.42</v>
      </c>
      <c r="D277" s="47" t="str">
        <f>HYPERLINK("https://osu.ppy.sh/u/3345466","Abrown516")</f>
        <v>Abrown516</v>
      </c>
      <c r="E277" s="52" t="s">
        <v>28</v>
      </c>
      <c r="F277" s="36" t="s">
        <v>105</v>
      </c>
      <c r="G277" s="37" t="s">
        <v>29</v>
      </c>
      <c r="H277" s="37" t="s">
        <v>67</v>
      </c>
      <c r="I277" s="37" t="s">
        <v>31</v>
      </c>
      <c r="J277" s="49"/>
      <c r="K277" s="39" t="s">
        <v>81</v>
      </c>
      <c r="L277" s="40" t="s">
        <v>222</v>
      </c>
      <c r="M277" s="40" t="s">
        <v>622</v>
      </c>
      <c r="N277" s="40" t="s">
        <v>179</v>
      </c>
      <c r="O277" s="69"/>
      <c r="P277" s="79"/>
      <c r="Q277" s="80"/>
      <c r="R277" s="80"/>
      <c r="S277" s="80"/>
      <c r="T277" s="69"/>
      <c r="U277" s="40" t="s">
        <v>252</v>
      </c>
      <c r="V277" s="40" t="s">
        <v>74</v>
      </c>
      <c r="Z277" s="45">
        <v>43252.0</v>
      </c>
    </row>
    <row r="278">
      <c r="A278" s="81" t="s">
        <v>1251</v>
      </c>
      <c r="B278" s="1" t="s">
        <v>1252</v>
      </c>
      <c r="C278" s="33">
        <v>8634.0</v>
      </c>
      <c r="D278" s="34" t="str">
        <f>HYPERLINK("https://osu.ppy.sh/u/4242381","Iron Man")</f>
        <v>Iron Man</v>
      </c>
      <c r="E278" s="41" t="s">
        <v>28</v>
      </c>
      <c r="F278" s="48" t="s">
        <v>105</v>
      </c>
      <c r="G278" s="48" t="s">
        <v>1172</v>
      </c>
      <c r="H278" s="48" t="s">
        <v>67</v>
      </c>
      <c r="I278" s="53"/>
      <c r="J278" s="54"/>
      <c r="M278" s="1" t="s">
        <v>1253</v>
      </c>
      <c r="U278" s="1" t="s">
        <v>977</v>
      </c>
    </row>
    <row r="279">
      <c r="A279" s="81" t="s">
        <v>1254</v>
      </c>
      <c r="B279" s="102" t="s">
        <v>423</v>
      </c>
      <c r="C279" s="103">
        <v>8620.44</v>
      </c>
      <c r="D279" s="137" t="str">
        <f>HYPERLINK("https://osu.ppy.sh/u/1155871","Raindrop")</f>
        <v>Raindrop</v>
      </c>
      <c r="E279" s="52" t="s">
        <v>28</v>
      </c>
      <c r="F279" s="100"/>
      <c r="G279" s="101"/>
      <c r="H279" s="101"/>
      <c r="I279" s="101"/>
      <c r="J279" s="49"/>
      <c r="K279" s="82"/>
      <c r="L279" s="69"/>
      <c r="M279" s="69"/>
      <c r="N279" s="69"/>
      <c r="O279" s="69"/>
      <c r="P279" s="79"/>
      <c r="Q279" s="80"/>
      <c r="R279" s="80"/>
      <c r="S279" s="80"/>
      <c r="T279" s="69"/>
      <c r="U279" s="69"/>
      <c r="V279" s="69"/>
    </row>
    <row r="280">
      <c r="A280" s="81" t="s">
        <v>1255</v>
      </c>
      <c r="B280" s="41" t="s">
        <v>1256</v>
      </c>
      <c r="C280" s="46">
        <v>8618.56</v>
      </c>
      <c r="D280" s="47" t="str">
        <f>HYPERLINK("https://osu.ppy.sh/u/4115328","ziby")</f>
        <v>ziby</v>
      </c>
      <c r="E280" s="52" t="s">
        <v>28</v>
      </c>
      <c r="F280" s="36">
        <v>1000.0</v>
      </c>
      <c r="G280" s="37" t="s">
        <v>29</v>
      </c>
      <c r="H280" s="37" t="s">
        <v>67</v>
      </c>
      <c r="I280" s="37" t="s">
        <v>31</v>
      </c>
      <c r="J280" s="38" t="s">
        <v>32</v>
      </c>
      <c r="K280" s="82"/>
      <c r="L280" s="40" t="s">
        <v>417</v>
      </c>
      <c r="M280" s="40" t="s">
        <v>100</v>
      </c>
      <c r="N280" s="40" t="s">
        <v>1257</v>
      </c>
      <c r="O280" s="35" t="s">
        <v>101</v>
      </c>
      <c r="P280" s="72">
        <v>105.0</v>
      </c>
      <c r="Q280" s="73">
        <v>127.0</v>
      </c>
      <c r="R280" s="73">
        <v>70.0</v>
      </c>
      <c r="S280" s="73">
        <v>44.0</v>
      </c>
      <c r="T280" s="61" t="s">
        <v>42</v>
      </c>
      <c r="U280" s="40" t="s">
        <v>668</v>
      </c>
      <c r="V280" s="40" t="s">
        <v>44</v>
      </c>
      <c r="Z280" s="45">
        <v>43282.0</v>
      </c>
      <c r="AA280" s="57"/>
    </row>
    <row r="281">
      <c r="A281" s="81" t="s">
        <v>1258</v>
      </c>
      <c r="B281" s="41" t="s">
        <v>1259</v>
      </c>
      <c r="C281" s="46">
        <v>8616.75</v>
      </c>
      <c r="D281" s="47" t="str">
        <f>HYPERLINK("https://osu.ppy.sh/u/3494615","PieFlavours")</f>
        <v>PieFlavours</v>
      </c>
      <c r="E281" s="1" t="s">
        <v>320</v>
      </c>
      <c r="F281" s="48" t="s">
        <v>105</v>
      </c>
      <c r="G281" s="48" t="s">
        <v>29</v>
      </c>
      <c r="H281" s="48" t="s">
        <v>1260</v>
      </c>
      <c r="I281" s="48" t="s">
        <v>336</v>
      </c>
      <c r="J281" s="59" t="s">
        <v>32</v>
      </c>
      <c r="K281" s="48" t="s">
        <v>33</v>
      </c>
      <c r="L281" s="1" t="s">
        <v>1261</v>
      </c>
      <c r="M281" s="1" t="s">
        <v>954</v>
      </c>
      <c r="N281" s="1" t="s">
        <v>179</v>
      </c>
      <c r="O281" s="55" t="s">
        <v>701</v>
      </c>
      <c r="P281" s="42">
        <v>69.0</v>
      </c>
      <c r="Q281" s="43">
        <v>127.0</v>
      </c>
      <c r="R281" s="43">
        <v>58.0</v>
      </c>
      <c r="S281" s="43">
        <v>38.0</v>
      </c>
      <c r="T281" s="52" t="s">
        <v>153</v>
      </c>
      <c r="U281" s="1" t="s">
        <v>605</v>
      </c>
      <c r="V281" s="1" t="s">
        <v>74</v>
      </c>
      <c r="Z281" s="45">
        <v>43739.0</v>
      </c>
    </row>
    <row r="282">
      <c r="A282" s="81" t="s">
        <v>1262</v>
      </c>
      <c r="B282" s="1" t="s">
        <v>1263</v>
      </c>
      <c r="C282" s="33">
        <v>8612.34</v>
      </c>
      <c r="D282" s="34" t="str">
        <f>HYPERLINK("https://osu.ppy.sh/u/6385683","spreadnuts")</f>
        <v>spreadnuts</v>
      </c>
      <c r="E282" s="41"/>
      <c r="F282" s="53"/>
      <c r="G282" s="53"/>
      <c r="H282" s="53"/>
      <c r="I282" s="53"/>
      <c r="J282" s="54"/>
      <c r="K282" s="53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Z282" s="45"/>
      <c r="AA282" s="57"/>
    </row>
    <row r="283" ht="7.5" customHeight="1">
      <c r="A283" s="81" t="s">
        <v>1264</v>
      </c>
      <c r="B283" s="102" t="s">
        <v>423</v>
      </c>
      <c r="C283" s="103">
        <v>8587.01</v>
      </c>
      <c r="D283" s="138" t="str">
        <f>HYPERLINK("https://osu.ppy.sh/u/1616533","Riviclia")</f>
        <v>Riviclia</v>
      </c>
      <c r="E283" s="35" t="s">
        <v>571</v>
      </c>
      <c r="F283" s="63">
        <v>1000.0</v>
      </c>
      <c r="G283" s="66" t="s">
        <v>29</v>
      </c>
      <c r="H283" s="66" t="s">
        <v>1265</v>
      </c>
      <c r="I283" s="66" t="s">
        <v>421</v>
      </c>
      <c r="J283" s="70" t="s">
        <v>32</v>
      </c>
      <c r="K283" s="71">
        <v>125.0</v>
      </c>
      <c r="L283" s="61" t="s">
        <v>237</v>
      </c>
      <c r="M283" s="35" t="s">
        <v>1266</v>
      </c>
      <c r="N283" s="35" t="s">
        <v>430</v>
      </c>
      <c r="O283" s="69"/>
      <c r="P283" s="72">
        <v>80.0</v>
      </c>
      <c r="Q283" s="73">
        <v>98.0</v>
      </c>
      <c r="R283" s="73">
        <v>74.0</v>
      </c>
      <c r="S283" s="73">
        <v>67.0</v>
      </c>
      <c r="T283" s="69"/>
      <c r="U283" s="69"/>
      <c r="V283" s="69"/>
      <c r="Z283" s="45">
        <v>42826.0</v>
      </c>
    </row>
    <row r="284" ht="7.5" customHeight="1">
      <c r="A284" s="81" t="s">
        <v>1267</v>
      </c>
      <c r="B284" s="1" t="s">
        <v>1268</v>
      </c>
      <c r="C284" s="33">
        <v>8585.02</v>
      </c>
      <c r="D284" s="34" t="str">
        <f>HYPERLINK("https://osu.ppy.sh/u/6465995","naaar")</f>
        <v>naaar</v>
      </c>
      <c r="E284" s="52" t="s">
        <v>28</v>
      </c>
      <c r="F284" s="100"/>
      <c r="G284" s="101"/>
      <c r="H284" s="101"/>
      <c r="I284" s="101"/>
      <c r="J284" s="49"/>
      <c r="K284" s="82"/>
      <c r="L284" s="69"/>
      <c r="M284" s="69"/>
      <c r="N284" s="69"/>
      <c r="O284" s="69"/>
      <c r="P284" s="79"/>
      <c r="Q284" s="80"/>
      <c r="R284" s="80"/>
      <c r="S284" s="80"/>
      <c r="T284" s="69"/>
      <c r="U284" s="69"/>
      <c r="V284" s="69"/>
    </row>
    <row r="285" ht="7.5" customHeight="1">
      <c r="A285" s="81" t="s">
        <v>271</v>
      </c>
      <c r="B285" s="1" t="s">
        <v>1269</v>
      </c>
      <c r="C285" s="33">
        <v>8573.69</v>
      </c>
      <c r="D285" s="34" t="str">
        <f>HYPERLINK("https://osu.ppy.sh/u/9593516","Lisu")</f>
        <v>Lisu</v>
      </c>
      <c r="E285" s="61" t="s">
        <v>28</v>
      </c>
      <c r="G285" s="53"/>
      <c r="I285" s="53"/>
      <c r="J285" s="54"/>
    </row>
    <row r="286" ht="7.5" customHeight="1">
      <c r="A286" s="139" t="s">
        <v>1270</v>
      </c>
      <c r="B286" s="41" t="s">
        <v>1271</v>
      </c>
      <c r="C286" s="46">
        <v>8564.72</v>
      </c>
      <c r="D286" s="83" t="str">
        <f>HYPERLINK("https://osu.ppy.sh/u/5245584","Dudsunz")</f>
        <v>Dudsunz</v>
      </c>
      <c r="E286" s="52" t="s">
        <v>28</v>
      </c>
      <c r="F286" s="36">
        <v>800.0</v>
      </c>
      <c r="G286" s="37" t="s">
        <v>29</v>
      </c>
      <c r="H286" s="37" t="s">
        <v>67</v>
      </c>
      <c r="I286" s="37" t="s">
        <v>31</v>
      </c>
      <c r="J286" s="38" t="s">
        <v>32</v>
      </c>
      <c r="K286" s="39">
        <v>1000.0</v>
      </c>
      <c r="L286" s="1" t="s">
        <v>222</v>
      </c>
      <c r="M286" s="40" t="s">
        <v>69</v>
      </c>
      <c r="N286" s="40" t="s">
        <v>61</v>
      </c>
      <c r="O286" s="40" t="s">
        <v>70</v>
      </c>
      <c r="P286" s="42" t="s">
        <v>71</v>
      </c>
      <c r="Q286" s="43" t="s">
        <v>39</v>
      </c>
      <c r="R286" s="43" t="s">
        <v>72</v>
      </c>
      <c r="S286" s="43" t="s">
        <v>41</v>
      </c>
      <c r="T286" s="61" t="s">
        <v>42</v>
      </c>
      <c r="U286" s="40" t="s">
        <v>1272</v>
      </c>
      <c r="V286" s="40" t="s">
        <v>89</v>
      </c>
    </row>
    <row r="287">
      <c r="A287" s="81" t="s">
        <v>1273</v>
      </c>
      <c r="B287" s="41" t="s">
        <v>1274</v>
      </c>
      <c r="C287" s="46">
        <v>8548.76</v>
      </c>
      <c r="D287" s="47" t="str">
        <f>HYPERLINK("https://osu.ppy.sh/u/3996331","ShinysArc")</f>
        <v>ShinysArc</v>
      </c>
      <c r="E287" s="52"/>
      <c r="F287" s="100"/>
      <c r="G287" s="101"/>
      <c r="H287" s="101"/>
      <c r="I287" s="101"/>
      <c r="J287" s="49"/>
      <c r="K287" s="82"/>
      <c r="L287" s="69"/>
      <c r="M287" s="69"/>
      <c r="N287" s="69"/>
      <c r="O287" s="69"/>
      <c r="P287" s="79"/>
      <c r="Q287" s="80"/>
      <c r="R287" s="80"/>
      <c r="S287" s="80"/>
      <c r="T287" s="69"/>
      <c r="U287" s="69"/>
      <c r="V287" s="69"/>
    </row>
    <row r="288">
      <c r="A288" s="81" t="s">
        <v>1275</v>
      </c>
      <c r="B288" s="1" t="s">
        <v>1276</v>
      </c>
      <c r="C288" s="33">
        <v>8533.29</v>
      </c>
      <c r="D288" s="34" t="str">
        <f>HYPERLINK("https://osu.ppy.sh/u/5394642","Runaway")</f>
        <v>Runaway</v>
      </c>
      <c r="E288" s="61" t="s">
        <v>28</v>
      </c>
      <c r="F288" s="48" t="s">
        <v>105</v>
      </c>
      <c r="G288" s="48" t="s">
        <v>29</v>
      </c>
      <c r="H288" s="48" t="s">
        <v>1260</v>
      </c>
      <c r="I288" s="66" t="s">
        <v>31</v>
      </c>
      <c r="J288" s="59" t="s">
        <v>32</v>
      </c>
      <c r="K288" s="48" t="s">
        <v>33</v>
      </c>
      <c r="L288" s="1" t="s">
        <v>243</v>
      </c>
      <c r="M288" s="55" t="s">
        <v>948</v>
      </c>
      <c r="N288" s="55" t="s">
        <v>1277</v>
      </c>
      <c r="O288" s="1" t="s">
        <v>121</v>
      </c>
      <c r="P288" s="42" t="s">
        <v>84</v>
      </c>
      <c r="Q288" s="43" t="s">
        <v>175</v>
      </c>
      <c r="R288" s="43" t="s">
        <v>86</v>
      </c>
      <c r="S288" s="43" t="s">
        <v>41</v>
      </c>
      <c r="T288" s="61" t="s">
        <v>42</v>
      </c>
      <c r="U288" s="55" t="s">
        <v>1278</v>
      </c>
      <c r="V288" s="55" t="s">
        <v>1279</v>
      </c>
      <c r="Z288" s="45">
        <v>44013.0</v>
      </c>
      <c r="AA288" s="57"/>
    </row>
    <row r="289">
      <c r="A289" s="81" t="s">
        <v>1280</v>
      </c>
      <c r="B289" s="41" t="s">
        <v>1281</v>
      </c>
      <c r="C289" s="46">
        <v>8524.17</v>
      </c>
      <c r="D289" s="47" t="str">
        <f>HYPERLINK("https://osu.ppy.sh/u/9637641","Sakurasou")</f>
        <v>Sakurasou</v>
      </c>
      <c r="E289" s="52" t="s">
        <v>28</v>
      </c>
      <c r="F289" s="36" t="s">
        <v>105</v>
      </c>
      <c r="G289" s="37" t="s">
        <v>29</v>
      </c>
      <c r="H289" s="37" t="s">
        <v>67</v>
      </c>
      <c r="I289" s="37" t="s">
        <v>293</v>
      </c>
      <c r="J289" s="38" t="s">
        <v>192</v>
      </c>
      <c r="K289" s="39" t="s">
        <v>33</v>
      </c>
      <c r="L289" s="69"/>
      <c r="M289" s="40" t="s">
        <v>1282</v>
      </c>
      <c r="N289" s="40" t="s">
        <v>1283</v>
      </c>
      <c r="O289" s="41" t="s">
        <v>764</v>
      </c>
      <c r="P289" s="42">
        <v>90.0</v>
      </c>
      <c r="Q289" s="80"/>
      <c r="R289" s="80"/>
      <c r="S289" s="80"/>
      <c r="T289" s="48" t="s">
        <v>42</v>
      </c>
      <c r="U289" s="40" t="s">
        <v>1284</v>
      </c>
      <c r="V289" s="40" t="s">
        <v>94</v>
      </c>
      <c r="Z289" s="45">
        <v>43374.0</v>
      </c>
    </row>
    <row r="290">
      <c r="A290" s="81" t="s">
        <v>1285</v>
      </c>
      <c r="B290" s="41" t="s">
        <v>1286</v>
      </c>
      <c r="C290" s="46">
        <v>8504.95</v>
      </c>
      <c r="D290" s="62" t="str">
        <f>HYPERLINK("https://osu.ppy.sh/u/1591165","EnterYourName")</f>
        <v>EnterYourName</v>
      </c>
      <c r="E290" s="35" t="s">
        <v>28</v>
      </c>
      <c r="F290" s="63">
        <v>1000.0</v>
      </c>
      <c r="G290" s="66" t="s">
        <v>29</v>
      </c>
      <c r="H290" s="66" t="s">
        <v>67</v>
      </c>
      <c r="I290" s="66" t="s">
        <v>31</v>
      </c>
      <c r="J290" s="70" t="s">
        <v>32</v>
      </c>
      <c r="K290" s="71">
        <v>500.0</v>
      </c>
      <c r="L290" s="61" t="s">
        <v>417</v>
      </c>
      <c r="M290" s="41" t="s">
        <v>130</v>
      </c>
      <c r="N290" s="35" t="s">
        <v>179</v>
      </c>
      <c r="O290" s="1" t="s">
        <v>70</v>
      </c>
      <c r="P290" s="72" t="s">
        <v>132</v>
      </c>
      <c r="Q290" s="73">
        <v>124.0</v>
      </c>
      <c r="R290" s="73">
        <v>68.0</v>
      </c>
      <c r="S290" s="73">
        <v>43.0</v>
      </c>
      <c r="T290" s="61" t="s">
        <v>42</v>
      </c>
      <c r="U290" s="75" t="s">
        <v>1244</v>
      </c>
      <c r="V290" s="75" t="s">
        <v>63</v>
      </c>
      <c r="Z290" s="45">
        <v>42979.0</v>
      </c>
    </row>
    <row r="291">
      <c r="A291" s="81" t="s">
        <v>1287</v>
      </c>
      <c r="B291" s="1" t="s">
        <v>1288</v>
      </c>
      <c r="C291" s="33">
        <v>8494.9</v>
      </c>
      <c r="D291" s="34" t="str">
        <f>HYPERLINK("https://osu.ppy.sh/u/7737438","Veron")</f>
        <v>Veron</v>
      </c>
      <c r="E291" s="52" t="s">
        <v>28</v>
      </c>
      <c r="F291" s="48" t="s">
        <v>206</v>
      </c>
      <c r="G291" s="37" t="s">
        <v>29</v>
      </c>
      <c r="H291" s="66" t="s">
        <v>67</v>
      </c>
      <c r="I291" s="37" t="s">
        <v>31</v>
      </c>
      <c r="J291" s="38" t="s">
        <v>32</v>
      </c>
      <c r="K291" s="39" t="s">
        <v>33</v>
      </c>
      <c r="L291" s="1" t="s">
        <v>207</v>
      </c>
      <c r="M291" s="55" t="s">
        <v>1149</v>
      </c>
      <c r="N291" s="55" t="s">
        <v>1289</v>
      </c>
      <c r="O291" s="55" t="s">
        <v>1151</v>
      </c>
      <c r="P291" s="48" t="s">
        <v>216</v>
      </c>
      <c r="Q291" s="48" t="s">
        <v>1152</v>
      </c>
      <c r="R291" s="48" t="s">
        <v>458</v>
      </c>
      <c r="S291" s="48" t="s">
        <v>41</v>
      </c>
      <c r="T291" s="61" t="s">
        <v>218</v>
      </c>
      <c r="U291" s="55" t="s">
        <v>1290</v>
      </c>
      <c r="V291" s="55" t="s">
        <v>74</v>
      </c>
      <c r="Z291" s="45">
        <v>44105.0</v>
      </c>
      <c r="AA291" s="57"/>
    </row>
    <row r="292">
      <c r="A292" s="81" t="s">
        <v>1291</v>
      </c>
      <c r="B292" s="41" t="s">
        <v>1292</v>
      </c>
      <c r="C292" s="46">
        <v>8490.66</v>
      </c>
      <c r="D292" s="47" t="str">
        <f>HYPERLINK("https://osu.ppy.sh/u/7684497","GokuLook")</f>
        <v>GokuLook</v>
      </c>
      <c r="E292" s="52" t="s">
        <v>28</v>
      </c>
      <c r="F292" s="36" t="s">
        <v>1293</v>
      </c>
      <c r="G292" s="37" t="s">
        <v>1172</v>
      </c>
      <c r="H292" s="37" t="s">
        <v>67</v>
      </c>
      <c r="I292" s="37" t="s">
        <v>98</v>
      </c>
      <c r="J292" s="49"/>
      <c r="K292" s="39" t="s">
        <v>33</v>
      </c>
      <c r="L292" s="69"/>
      <c r="M292" s="40" t="s">
        <v>288</v>
      </c>
      <c r="N292" s="69"/>
      <c r="O292" s="41" t="s">
        <v>109</v>
      </c>
      <c r="P292" s="42">
        <v>85.0</v>
      </c>
      <c r="Q292" s="43">
        <v>117.0</v>
      </c>
      <c r="R292" s="43">
        <v>62.0</v>
      </c>
      <c r="S292" s="43">
        <v>38.0</v>
      </c>
      <c r="T292" s="40" t="s">
        <v>42</v>
      </c>
      <c r="U292" s="69"/>
      <c r="V292" s="69"/>
    </row>
    <row r="293">
      <c r="A293" s="81" t="s">
        <v>1294</v>
      </c>
      <c r="B293" s="1" t="s">
        <v>1295</v>
      </c>
      <c r="C293" s="33">
        <v>8487.56</v>
      </c>
      <c r="D293" s="34" t="str">
        <f>HYPERLINK("https://osu.ppy.sh/u/451552","AllieBork")</f>
        <v>AllieBork</v>
      </c>
      <c r="E293" s="41"/>
      <c r="Z293" s="45"/>
      <c r="AA293" s="57"/>
    </row>
    <row r="294">
      <c r="A294" s="81" t="s">
        <v>1296</v>
      </c>
      <c r="B294" s="41" t="s">
        <v>1297</v>
      </c>
      <c r="C294" s="46">
        <v>8485.21</v>
      </c>
      <c r="D294" s="62" t="str">
        <f>HYPERLINK("https://osu.ppy.sh/u/7649176","reeder")</f>
        <v>reeder</v>
      </c>
      <c r="E294" s="52" t="s">
        <v>571</v>
      </c>
      <c r="F294" s="36" t="s">
        <v>559</v>
      </c>
      <c r="G294" s="37" t="s">
        <v>29</v>
      </c>
      <c r="H294" s="37" t="s">
        <v>527</v>
      </c>
      <c r="I294" s="37" t="s">
        <v>31</v>
      </c>
      <c r="J294" s="38" t="s">
        <v>32</v>
      </c>
      <c r="K294" s="39" t="s">
        <v>33</v>
      </c>
      <c r="L294" s="40" t="s">
        <v>1298</v>
      </c>
      <c r="M294" s="40" t="s">
        <v>238</v>
      </c>
      <c r="N294" s="40" t="s">
        <v>357</v>
      </c>
      <c r="O294" s="35" t="s">
        <v>70</v>
      </c>
      <c r="P294" s="72">
        <v>126.0</v>
      </c>
      <c r="Q294" s="73">
        <v>128.0</v>
      </c>
      <c r="R294" s="73">
        <v>76.0</v>
      </c>
      <c r="S294" s="73">
        <v>42.0</v>
      </c>
      <c r="T294" s="52" t="s">
        <v>42</v>
      </c>
      <c r="U294" s="69"/>
      <c r="V294" s="69"/>
      <c r="Z294" s="45">
        <v>43282.0</v>
      </c>
    </row>
    <row r="295">
      <c r="A295" s="81" t="s">
        <v>1299</v>
      </c>
      <c r="B295" s="41" t="s">
        <v>1300</v>
      </c>
      <c r="C295" s="46">
        <v>8481.72</v>
      </c>
      <c r="D295" s="62" t="str">
        <f>HYPERLINK("https://osu.ppy.sh/u/2571893","mithew")</f>
        <v>mithew</v>
      </c>
      <c r="E295" s="61" t="s">
        <v>28</v>
      </c>
      <c r="F295" s="63">
        <v>450.0</v>
      </c>
      <c r="G295" s="66" t="s">
        <v>29</v>
      </c>
      <c r="H295" s="66" t="s">
        <v>67</v>
      </c>
      <c r="I295" s="66" t="s">
        <v>106</v>
      </c>
      <c r="J295" s="70" t="s">
        <v>32</v>
      </c>
      <c r="K295" s="71">
        <v>1000.0</v>
      </c>
      <c r="L295" s="61" t="s">
        <v>1301</v>
      </c>
      <c r="M295" s="35" t="s">
        <v>1302</v>
      </c>
      <c r="N295" s="35" t="s">
        <v>1303</v>
      </c>
      <c r="O295" s="35" t="s">
        <v>278</v>
      </c>
      <c r="P295" s="79"/>
      <c r="Q295" s="80"/>
      <c r="R295" s="80"/>
      <c r="S295" s="80"/>
      <c r="T295" s="57"/>
      <c r="U295" s="75" t="s">
        <v>289</v>
      </c>
      <c r="V295" s="75" t="s">
        <v>899</v>
      </c>
    </row>
    <row r="296">
      <c r="A296" s="81" t="s">
        <v>1304</v>
      </c>
      <c r="B296" s="41" t="s">
        <v>1305</v>
      </c>
      <c r="C296" s="46">
        <v>8477.91</v>
      </c>
      <c r="D296" s="47" t="str">
        <f>HYPERLINK("https://osu.ppy.sh/u/3650695","Kalo")</f>
        <v>Kalo</v>
      </c>
      <c r="E296" s="52" t="s">
        <v>28</v>
      </c>
      <c r="F296" s="36" t="s">
        <v>105</v>
      </c>
      <c r="G296" s="37" t="s">
        <v>29</v>
      </c>
      <c r="H296" s="37" t="s">
        <v>578</v>
      </c>
      <c r="I296" s="37" t="s">
        <v>31</v>
      </c>
      <c r="J296" s="38" t="s">
        <v>32</v>
      </c>
      <c r="K296" s="39" t="s">
        <v>33</v>
      </c>
      <c r="L296" s="40" t="s">
        <v>417</v>
      </c>
      <c r="M296" s="40" t="s">
        <v>199</v>
      </c>
      <c r="N296" s="40" t="s">
        <v>1306</v>
      </c>
      <c r="O296" s="35" t="s">
        <v>201</v>
      </c>
      <c r="P296" s="72">
        <v>103.0</v>
      </c>
      <c r="Q296" s="73">
        <v>136.0</v>
      </c>
      <c r="R296" s="73">
        <v>72.0</v>
      </c>
      <c r="S296" s="73">
        <v>41.0</v>
      </c>
      <c r="T296" s="61" t="s">
        <v>42</v>
      </c>
      <c r="U296" s="40" t="s">
        <v>1307</v>
      </c>
      <c r="V296" s="40" t="s">
        <v>44</v>
      </c>
      <c r="Z296" s="45">
        <v>43282.0</v>
      </c>
    </row>
    <row r="297">
      <c r="A297" s="81" t="s">
        <v>1308</v>
      </c>
      <c r="B297" s="41" t="s">
        <v>1309</v>
      </c>
      <c r="C297" s="46">
        <v>8475.74</v>
      </c>
      <c r="D297" s="47" t="str">
        <f>HYPERLINK("https://osu.ppy.sh/u/7427035","Chompy")</f>
        <v>Chompy</v>
      </c>
      <c r="E297" s="1" t="s">
        <v>28</v>
      </c>
      <c r="F297" s="140">
        <v>950.0</v>
      </c>
      <c r="G297" s="48" t="s">
        <v>29</v>
      </c>
      <c r="H297" s="48" t="s">
        <v>67</v>
      </c>
      <c r="I297" s="48" t="s">
        <v>242</v>
      </c>
      <c r="J297" s="59" t="s">
        <v>32</v>
      </c>
      <c r="K297" s="141">
        <v>1000.0</v>
      </c>
      <c r="L297" s="55" t="s">
        <v>807</v>
      </c>
      <c r="M297" s="1" t="s">
        <v>1310</v>
      </c>
      <c r="N297" s="1" t="s">
        <v>1311</v>
      </c>
      <c r="O297" s="1" t="s">
        <v>1312</v>
      </c>
      <c r="P297" s="142">
        <v>110.0</v>
      </c>
      <c r="Q297" s="143">
        <v>130.0</v>
      </c>
      <c r="R297" s="143">
        <v>67.0</v>
      </c>
      <c r="S297" s="143">
        <v>40.0</v>
      </c>
      <c r="T297" s="61" t="s">
        <v>42</v>
      </c>
      <c r="U297" s="1" t="s">
        <v>517</v>
      </c>
      <c r="V297" s="1" t="s">
        <v>1313</v>
      </c>
      <c r="Z297" s="45">
        <v>44105.0</v>
      </c>
    </row>
    <row r="298">
      <c r="A298" s="81" t="s">
        <v>1314</v>
      </c>
      <c r="B298" s="1" t="s">
        <v>1315</v>
      </c>
      <c r="C298" s="33">
        <v>8470.42</v>
      </c>
      <c r="D298" s="34" t="str">
        <f>HYPERLINK("https://osu.ppy.sh/u/4165369","free playtest")</f>
        <v>free playtest</v>
      </c>
      <c r="E298" s="52" t="s">
        <v>28</v>
      </c>
      <c r="F298" s="63">
        <v>800.0</v>
      </c>
      <c r="G298" s="66" t="s">
        <v>29</v>
      </c>
      <c r="H298" s="66" t="s">
        <v>67</v>
      </c>
      <c r="I298" s="65" t="s">
        <v>1316</v>
      </c>
      <c r="J298" s="59" t="s">
        <v>32</v>
      </c>
      <c r="K298" s="71">
        <v>1000.0</v>
      </c>
      <c r="L298" s="1" t="s">
        <v>1093</v>
      </c>
      <c r="M298" s="40" t="s">
        <v>108</v>
      </c>
      <c r="N298" s="55" t="s">
        <v>1317</v>
      </c>
      <c r="O298" s="1" t="s">
        <v>109</v>
      </c>
      <c r="P298" s="85" t="s">
        <v>110</v>
      </c>
      <c r="Q298" s="86" t="s">
        <v>39</v>
      </c>
      <c r="R298" s="87" t="s">
        <v>72</v>
      </c>
      <c r="S298" s="87" t="s">
        <v>41</v>
      </c>
      <c r="T298" s="48" t="s">
        <v>42</v>
      </c>
      <c r="U298" s="55" t="s">
        <v>93</v>
      </c>
      <c r="V298" s="55"/>
      <c r="Z298" s="45">
        <v>44136.0</v>
      </c>
      <c r="AA298" s="57"/>
    </row>
    <row r="299">
      <c r="A299" s="81" t="s">
        <v>1318</v>
      </c>
      <c r="B299" s="41" t="s">
        <v>1319</v>
      </c>
      <c r="C299" s="46">
        <v>8462.44</v>
      </c>
      <c r="D299" s="47" t="str">
        <f>HYPERLINK("https://osu.ppy.sh/u/3712966","ruyo")</f>
        <v>ruyo</v>
      </c>
      <c r="E299" s="52" t="s">
        <v>28</v>
      </c>
      <c r="F299" s="100"/>
      <c r="G299" s="101"/>
      <c r="H299" s="101"/>
      <c r="I299" s="101"/>
      <c r="J299" s="49"/>
      <c r="K299" s="82"/>
      <c r="L299" s="69"/>
      <c r="M299" s="69"/>
      <c r="N299" s="69"/>
      <c r="O299" s="69"/>
      <c r="P299" s="79"/>
      <c r="Q299" s="80"/>
      <c r="R299" s="80"/>
      <c r="S299" s="80"/>
      <c r="T299" s="69"/>
      <c r="U299" s="69"/>
      <c r="V299" s="69"/>
    </row>
    <row r="300">
      <c r="A300" s="81" t="s">
        <v>402</v>
      </c>
      <c r="B300" s="102" t="s">
        <v>423</v>
      </c>
      <c r="C300" s="103">
        <v>8460.37</v>
      </c>
      <c r="D300" s="144" t="str">
        <f>HYPERLINK("https://osu.ppy.sh/u/2413328","Mash")</f>
        <v>Mash</v>
      </c>
      <c r="E300" s="52" t="s">
        <v>28</v>
      </c>
      <c r="F300" s="36" t="s">
        <v>47</v>
      </c>
      <c r="G300" s="37" t="s">
        <v>29</v>
      </c>
      <c r="H300" s="37" t="s">
        <v>1320</v>
      </c>
      <c r="I300" s="37" t="s">
        <v>31</v>
      </c>
      <c r="J300" s="38" t="s">
        <v>32</v>
      </c>
      <c r="K300" s="39" t="s">
        <v>33</v>
      </c>
      <c r="L300" s="69"/>
      <c r="M300" s="40" t="s">
        <v>185</v>
      </c>
      <c r="N300" s="40" t="s">
        <v>1321</v>
      </c>
      <c r="O300" s="40" t="s">
        <v>141</v>
      </c>
      <c r="P300" s="42" t="s">
        <v>187</v>
      </c>
      <c r="Q300" s="43" t="s">
        <v>39</v>
      </c>
      <c r="R300" s="43" t="s">
        <v>72</v>
      </c>
      <c r="S300" s="43" t="s">
        <v>41</v>
      </c>
      <c r="T300" s="40" t="s">
        <v>42</v>
      </c>
      <c r="U300" s="40" t="s">
        <v>1322</v>
      </c>
      <c r="V300" s="40" t="s">
        <v>74</v>
      </c>
      <c r="Z300" s="45">
        <v>43282.0</v>
      </c>
    </row>
    <row r="301">
      <c r="A301" s="81" t="s">
        <v>1323</v>
      </c>
      <c r="B301" s="1" t="s">
        <v>1324</v>
      </c>
      <c r="C301" s="33">
        <v>8447.54</v>
      </c>
      <c r="D301" s="34" t="str">
        <f>HYPERLINK("https://osu.ppy.sh/u/4917604","fry")</f>
        <v>fry</v>
      </c>
      <c r="E301" s="41" t="s">
        <v>28</v>
      </c>
      <c r="F301" s="48" t="s">
        <v>105</v>
      </c>
      <c r="G301" s="65" t="s">
        <v>29</v>
      </c>
      <c r="H301" s="48" t="s">
        <v>806</v>
      </c>
      <c r="I301" s="48" t="s">
        <v>31</v>
      </c>
      <c r="J301" s="89" t="s">
        <v>32</v>
      </c>
      <c r="K301" s="71" t="s">
        <v>33</v>
      </c>
      <c r="L301" s="1" t="s">
        <v>351</v>
      </c>
      <c r="M301" s="55" t="s">
        <v>1325</v>
      </c>
      <c r="N301" s="55" t="s">
        <v>148</v>
      </c>
      <c r="O301" s="55" t="s">
        <v>701</v>
      </c>
      <c r="P301" s="48" t="s">
        <v>1200</v>
      </c>
      <c r="Q301" s="48" t="s">
        <v>39</v>
      </c>
      <c r="R301" s="48" t="s">
        <v>86</v>
      </c>
      <c r="S301" s="48" t="s">
        <v>41</v>
      </c>
      <c r="T301" s="44" t="s">
        <v>42</v>
      </c>
      <c r="U301" s="55" t="s">
        <v>1326</v>
      </c>
      <c r="V301" s="55" t="s">
        <v>597</v>
      </c>
      <c r="Z301" s="45">
        <v>44228.0</v>
      </c>
      <c r="AA301" s="57"/>
    </row>
    <row r="302">
      <c r="A302" s="81" t="s">
        <v>1327</v>
      </c>
      <c r="B302" s="41" t="s">
        <v>1328</v>
      </c>
      <c r="C302" s="46">
        <v>8438.07</v>
      </c>
      <c r="D302" s="116" t="str">
        <f>HYPERLINK("https://osu.ppy.sh/u/5751823","Lammy-")</f>
        <v>Lammy-</v>
      </c>
      <c r="E302" s="35" t="s">
        <v>28</v>
      </c>
      <c r="F302" s="63">
        <v>1000.0</v>
      </c>
      <c r="G302" s="66" t="s">
        <v>29</v>
      </c>
      <c r="H302" s="65" t="s">
        <v>806</v>
      </c>
      <c r="I302" s="65" t="s">
        <v>98</v>
      </c>
      <c r="J302" s="89" t="s">
        <v>32</v>
      </c>
      <c r="K302" s="71" t="s">
        <v>33</v>
      </c>
      <c r="L302" s="52" t="s">
        <v>755</v>
      </c>
      <c r="M302" s="41" t="s">
        <v>238</v>
      </c>
      <c r="N302" s="41" t="s">
        <v>780</v>
      </c>
      <c r="O302" s="35" t="s">
        <v>70</v>
      </c>
      <c r="P302" s="72">
        <v>126.0</v>
      </c>
      <c r="Q302" s="73">
        <v>128.0</v>
      </c>
      <c r="R302" s="73">
        <v>76.0</v>
      </c>
      <c r="S302" s="73">
        <v>42.0</v>
      </c>
      <c r="T302" s="52" t="s">
        <v>42</v>
      </c>
      <c r="U302" s="41" t="s">
        <v>1329</v>
      </c>
      <c r="V302" s="41" t="s">
        <v>74</v>
      </c>
      <c r="Z302" s="45">
        <v>44166.0</v>
      </c>
    </row>
    <row r="303">
      <c r="A303" s="81" t="s">
        <v>1330</v>
      </c>
      <c r="B303" s="40" t="s">
        <v>1331</v>
      </c>
      <c r="C303" s="76">
        <v>8430.4</v>
      </c>
      <c r="D303" s="77" t="str">
        <f>HYPERLINK("https://osu.ppy.sh/u/4189909","Absence")</f>
        <v>Absence</v>
      </c>
      <c r="E303" s="41" t="s">
        <v>28</v>
      </c>
      <c r="F303" s="145"/>
      <c r="G303" s="57"/>
      <c r="H303" s="57"/>
      <c r="I303" s="57"/>
      <c r="J303" s="57"/>
      <c r="K303" s="115"/>
      <c r="L303" s="57"/>
      <c r="M303" s="57"/>
      <c r="N303" s="57"/>
      <c r="O303" s="57"/>
      <c r="P303" s="146"/>
      <c r="Q303" s="147"/>
      <c r="R303" s="147"/>
      <c r="S303" s="147"/>
      <c r="T303" s="57"/>
      <c r="U303" s="57"/>
      <c r="V303" s="57"/>
      <c r="W303" s="57"/>
      <c r="X303" s="57"/>
      <c r="Y303" s="57"/>
      <c r="Z303" s="148"/>
    </row>
    <row r="304">
      <c r="A304" s="81" t="s">
        <v>1332</v>
      </c>
      <c r="B304" s="1" t="s">
        <v>1333</v>
      </c>
      <c r="C304" s="33">
        <v>8425.87</v>
      </c>
      <c r="D304" s="34" t="str">
        <f>HYPERLINK("https://osu.ppy.sh/u/356730","591")</f>
        <v>591</v>
      </c>
      <c r="E304" s="41" t="s">
        <v>320</v>
      </c>
      <c r="F304" s="58" t="s">
        <v>58</v>
      </c>
      <c r="G304" s="48" t="s">
        <v>29</v>
      </c>
      <c r="H304" s="48" t="s">
        <v>1127</v>
      </c>
      <c r="I304" s="48" t="s">
        <v>229</v>
      </c>
      <c r="J304" s="59" t="s">
        <v>32</v>
      </c>
      <c r="K304" s="74" t="s">
        <v>1029</v>
      </c>
      <c r="L304" s="1" t="s">
        <v>305</v>
      </c>
      <c r="M304" s="1" t="s">
        <v>1334</v>
      </c>
      <c r="N304" s="1" t="s">
        <v>430</v>
      </c>
      <c r="P304" s="91"/>
      <c r="Q304" s="92"/>
      <c r="R304" s="92"/>
      <c r="S304" s="92"/>
      <c r="U304" s="1" t="s">
        <v>1335</v>
      </c>
      <c r="V304" s="1" t="s">
        <v>63</v>
      </c>
      <c r="Z304" s="45">
        <v>43221.0</v>
      </c>
    </row>
    <row r="305">
      <c r="A305" s="81" t="s">
        <v>276</v>
      </c>
      <c r="B305" s="1" t="s">
        <v>1336</v>
      </c>
      <c r="C305" s="33">
        <v>8424.72</v>
      </c>
      <c r="D305" s="34" t="str">
        <f>HYPERLINK("https://osu.ppy.sh/u/7110213","badfranky-")</f>
        <v>badfranky-</v>
      </c>
      <c r="E305" s="61" t="s">
        <v>28</v>
      </c>
      <c r="G305" s="53"/>
      <c r="I305" s="53"/>
      <c r="J305" s="54"/>
    </row>
    <row r="306">
      <c r="A306" s="81" t="s">
        <v>1337</v>
      </c>
      <c r="B306" s="1" t="s">
        <v>1338</v>
      </c>
      <c r="C306" s="33">
        <v>8420.58</v>
      </c>
      <c r="D306" s="34" t="str">
        <f>HYPERLINK("https://osu.ppy.sh/u/3899112","dqi")</f>
        <v>dqi</v>
      </c>
      <c r="E306" s="41"/>
      <c r="F306" s="53"/>
      <c r="G306" s="53"/>
      <c r="H306" s="53"/>
      <c r="I306" s="53"/>
      <c r="J306" s="54"/>
      <c r="K306" s="53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Z306" s="45"/>
      <c r="AA306" s="57"/>
    </row>
    <row r="307">
      <c r="A307" s="81" t="s">
        <v>1339</v>
      </c>
      <c r="B307" s="41" t="s">
        <v>1340</v>
      </c>
      <c r="C307" s="46">
        <v>8415.41</v>
      </c>
      <c r="D307" s="47" t="str">
        <f>HYPERLINK("https://osu.ppy.sh/u/3765834","Cloudklaut")</f>
        <v>Cloudklaut</v>
      </c>
      <c r="E307" s="52" t="s">
        <v>28</v>
      </c>
      <c r="F307" s="36" t="s">
        <v>105</v>
      </c>
      <c r="G307" s="37" t="s">
        <v>29</v>
      </c>
      <c r="H307" s="37" t="s">
        <v>67</v>
      </c>
      <c r="I307" s="37" t="s">
        <v>31</v>
      </c>
      <c r="J307" s="38" t="s">
        <v>32</v>
      </c>
      <c r="K307" s="39" t="s">
        <v>33</v>
      </c>
      <c r="L307" s="40" t="s">
        <v>222</v>
      </c>
      <c r="M307" s="40" t="s">
        <v>396</v>
      </c>
      <c r="N307" s="40" t="s">
        <v>61</v>
      </c>
      <c r="O307" s="41" t="s">
        <v>52</v>
      </c>
      <c r="P307" s="42" t="s">
        <v>110</v>
      </c>
      <c r="Q307" s="43" t="s">
        <v>457</v>
      </c>
      <c r="R307" s="43" t="s">
        <v>896</v>
      </c>
      <c r="S307" s="43" t="s">
        <v>87</v>
      </c>
      <c r="T307" s="40" t="s">
        <v>42</v>
      </c>
      <c r="U307" s="40" t="s">
        <v>117</v>
      </c>
      <c r="V307" s="40" t="s">
        <v>74</v>
      </c>
      <c r="Z307" s="45">
        <v>43313.0</v>
      </c>
    </row>
    <row r="308">
      <c r="A308" s="81" t="s">
        <v>279</v>
      </c>
      <c r="B308" s="1" t="s">
        <v>1341</v>
      </c>
      <c r="C308" s="33">
        <v>8414.36</v>
      </c>
      <c r="D308" s="34" t="str">
        <f>HYPERLINK("https://osu.ppy.sh/u/9275130","Waffle-")</f>
        <v>Waffle-</v>
      </c>
      <c r="E308" s="61" t="s">
        <v>28</v>
      </c>
      <c r="F308" s="48" t="s">
        <v>171</v>
      </c>
      <c r="G308" s="48" t="s">
        <v>29</v>
      </c>
      <c r="H308" s="64" t="s">
        <v>67</v>
      </c>
      <c r="I308" s="37" t="s">
        <v>31</v>
      </c>
      <c r="J308" s="59" t="s">
        <v>32</v>
      </c>
      <c r="K308" s="48" t="s">
        <v>33</v>
      </c>
      <c r="L308" s="1" t="s">
        <v>411</v>
      </c>
      <c r="M308" s="55" t="s">
        <v>380</v>
      </c>
      <c r="N308" s="55" t="s">
        <v>1104</v>
      </c>
      <c r="O308" s="1" t="s">
        <v>141</v>
      </c>
      <c r="P308" s="42">
        <v>126.0</v>
      </c>
      <c r="Q308" s="43">
        <v>128.0</v>
      </c>
      <c r="R308" s="43">
        <v>76.0</v>
      </c>
      <c r="S308" s="43">
        <v>42.0</v>
      </c>
      <c r="T308" s="61" t="s">
        <v>42</v>
      </c>
      <c r="U308" s="55" t="s">
        <v>1342</v>
      </c>
      <c r="V308" s="55" t="s">
        <v>1343</v>
      </c>
      <c r="Z308" s="45">
        <v>44105.0</v>
      </c>
      <c r="AA308" s="57"/>
    </row>
    <row r="309">
      <c r="A309" s="81" t="s">
        <v>1344</v>
      </c>
      <c r="B309" s="41" t="s">
        <v>1345</v>
      </c>
      <c r="C309" s="46">
        <v>8404.26</v>
      </c>
      <c r="D309" s="47" t="str">
        <f>HYPERLINK("https://osu.ppy.sh/u/10275038","PayneTrain")</f>
        <v>PayneTrain</v>
      </c>
      <c r="E309" s="41" t="s">
        <v>28</v>
      </c>
      <c r="F309" s="36" t="s">
        <v>791</v>
      </c>
      <c r="G309" s="37" t="s">
        <v>29</v>
      </c>
      <c r="H309" s="37" t="s">
        <v>67</v>
      </c>
      <c r="I309" s="37" t="s">
        <v>267</v>
      </c>
      <c r="J309" s="38" t="s">
        <v>32</v>
      </c>
      <c r="K309" s="39" t="s">
        <v>33</v>
      </c>
      <c r="L309" s="40" t="s">
        <v>263</v>
      </c>
      <c r="M309" s="40" t="s">
        <v>935</v>
      </c>
      <c r="N309" s="40" t="s">
        <v>1346</v>
      </c>
      <c r="O309" s="40" t="s">
        <v>709</v>
      </c>
      <c r="P309" s="42" t="s">
        <v>110</v>
      </c>
      <c r="Q309" s="43" t="s">
        <v>85</v>
      </c>
      <c r="R309" s="43" t="s">
        <v>458</v>
      </c>
      <c r="S309" s="43" t="s">
        <v>323</v>
      </c>
      <c r="T309" s="52" t="s">
        <v>42</v>
      </c>
      <c r="U309" s="40" t="s">
        <v>1347</v>
      </c>
      <c r="V309" s="40" t="s">
        <v>1348</v>
      </c>
      <c r="Z309" s="45">
        <v>43466.0</v>
      </c>
    </row>
    <row r="310">
      <c r="A310" s="81" t="s">
        <v>1349</v>
      </c>
      <c r="B310" s="1" t="s">
        <v>1350</v>
      </c>
      <c r="C310" s="149">
        <v>8395.8</v>
      </c>
      <c r="D310" s="94" t="str">
        <f>HYPERLINK("https://osu.ppy.sh/u/5235372","Donovan")</f>
        <v>Donovan</v>
      </c>
      <c r="E310" s="1" t="s">
        <v>28</v>
      </c>
      <c r="F310" s="48" t="s">
        <v>1351</v>
      </c>
      <c r="M310" s="1" t="s">
        <v>130</v>
      </c>
      <c r="O310" s="1" t="s">
        <v>70</v>
      </c>
      <c r="P310" s="72" t="s">
        <v>132</v>
      </c>
      <c r="Q310" s="73">
        <v>124.0</v>
      </c>
      <c r="R310" s="73">
        <v>68.0</v>
      </c>
      <c r="S310" s="73">
        <v>43.0</v>
      </c>
      <c r="T310" s="61" t="s">
        <v>42</v>
      </c>
      <c r="U310" s="1" t="s">
        <v>1352</v>
      </c>
      <c r="V310" s="1" t="s">
        <v>74</v>
      </c>
      <c r="Z310" s="45">
        <v>43862.0</v>
      </c>
    </row>
    <row r="311">
      <c r="A311" s="81" t="s">
        <v>1353</v>
      </c>
      <c r="B311" s="1" t="s">
        <v>1354</v>
      </c>
      <c r="C311" s="33">
        <v>8392.68</v>
      </c>
      <c r="D311" s="34" t="str">
        <f>HYPERLINK("https://osu.ppy.sh/u/8908387","MyAngelSatania")</f>
        <v>MyAngelSatania</v>
      </c>
      <c r="E311" s="35" t="s">
        <v>28</v>
      </c>
      <c r="F311" s="48" t="s">
        <v>105</v>
      </c>
      <c r="G311" s="37" t="s">
        <v>29</v>
      </c>
      <c r="H311" s="48" t="s">
        <v>97</v>
      </c>
      <c r="I311" s="37" t="s">
        <v>31</v>
      </c>
      <c r="J311" s="38" t="s">
        <v>32</v>
      </c>
      <c r="K311" s="74" t="s">
        <v>81</v>
      </c>
      <c r="L311" s="1" t="s">
        <v>114</v>
      </c>
      <c r="M311" s="55" t="s">
        <v>1355</v>
      </c>
      <c r="N311" s="55" t="s">
        <v>1356</v>
      </c>
      <c r="O311" s="1" t="s">
        <v>121</v>
      </c>
      <c r="P311" s="42" t="s">
        <v>366</v>
      </c>
      <c r="Q311" s="43" t="s">
        <v>367</v>
      </c>
      <c r="R311" s="43" t="s">
        <v>124</v>
      </c>
      <c r="S311" s="43" t="s">
        <v>323</v>
      </c>
      <c r="T311" s="61" t="s">
        <v>42</v>
      </c>
      <c r="U311" s="55" t="s">
        <v>252</v>
      </c>
      <c r="V311" s="55" t="s">
        <v>1357</v>
      </c>
      <c r="Z311" s="45">
        <v>44136.0</v>
      </c>
      <c r="AA311" s="57"/>
    </row>
    <row r="312">
      <c r="A312" s="81" t="s">
        <v>1358</v>
      </c>
      <c r="B312" s="40" t="s">
        <v>1359</v>
      </c>
      <c r="C312" s="76">
        <v>8387.48</v>
      </c>
      <c r="D312" s="77" t="str">
        <f>HYPERLINK("https://osu.ppy.sh/u/4952448","Reishara")</f>
        <v>Reishara</v>
      </c>
      <c r="E312" s="41" t="s">
        <v>28</v>
      </c>
      <c r="F312" s="145"/>
      <c r="G312" s="57"/>
      <c r="H312" s="57"/>
      <c r="I312" s="57"/>
      <c r="J312" s="57"/>
      <c r="K312" s="115"/>
      <c r="L312" s="57"/>
      <c r="M312" s="57"/>
      <c r="N312" s="57"/>
      <c r="O312" s="57"/>
      <c r="P312" s="146"/>
      <c r="Q312" s="147"/>
      <c r="R312" s="147"/>
      <c r="S312" s="147"/>
      <c r="T312" s="57"/>
      <c r="U312" s="57"/>
      <c r="V312" s="57"/>
      <c r="W312" s="57"/>
      <c r="X312" s="57"/>
      <c r="Y312" s="57"/>
      <c r="Z312" s="148"/>
    </row>
    <row r="313">
      <c r="A313" s="81" t="s">
        <v>1360</v>
      </c>
      <c r="B313" s="1" t="s">
        <v>1361</v>
      </c>
      <c r="C313" s="33">
        <v>8381.58</v>
      </c>
      <c r="D313" s="34" t="str">
        <f>HYPERLINK("https://osu.ppy.sh/u/2485447","Genny")</f>
        <v>Genny</v>
      </c>
      <c r="E313" s="52" t="s">
        <v>28</v>
      </c>
      <c r="F313" s="100"/>
      <c r="G313" s="101"/>
      <c r="H313" s="101"/>
      <c r="I313" s="101"/>
      <c r="J313" s="49"/>
      <c r="K313" s="82"/>
      <c r="L313" s="69"/>
      <c r="M313" s="69"/>
      <c r="N313" s="69"/>
      <c r="O313" s="69"/>
      <c r="P313" s="79"/>
      <c r="Q313" s="80"/>
      <c r="R313" s="80"/>
      <c r="S313" s="80"/>
      <c r="T313" s="69"/>
      <c r="U313" s="69"/>
      <c r="V313" s="69"/>
    </row>
    <row r="314">
      <c r="A314" s="81" t="s">
        <v>1362</v>
      </c>
      <c r="B314" s="102" t="s">
        <v>423</v>
      </c>
      <c r="C314" s="103">
        <v>8372.84</v>
      </c>
      <c r="D314" s="104" t="str">
        <f>HYPERLINK("https://osu.ppy.sh/u/495272","cptnXn")</f>
        <v>cptnXn</v>
      </c>
      <c r="E314" s="61" t="s">
        <v>28</v>
      </c>
      <c r="F314" s="63">
        <v>450.0</v>
      </c>
      <c r="G314" s="66" t="s">
        <v>128</v>
      </c>
      <c r="H314" s="66" t="s">
        <v>552</v>
      </c>
      <c r="I314" s="66" t="s">
        <v>267</v>
      </c>
      <c r="J314" s="70" t="s">
        <v>32</v>
      </c>
      <c r="K314" s="82"/>
      <c r="L314" s="61" t="s">
        <v>837</v>
      </c>
      <c r="M314" s="35" t="s">
        <v>1363</v>
      </c>
      <c r="N314" s="35" t="s">
        <v>853</v>
      </c>
      <c r="O314" s="35" t="s">
        <v>278</v>
      </c>
      <c r="P314" s="72">
        <v>85.0</v>
      </c>
      <c r="Q314" s="73">
        <v>124.0</v>
      </c>
      <c r="R314" s="73">
        <v>55.0</v>
      </c>
      <c r="S314" s="73">
        <v>36.0</v>
      </c>
      <c r="T314" s="61" t="s">
        <v>42</v>
      </c>
      <c r="U314" s="35" t="s">
        <v>866</v>
      </c>
      <c r="V314" s="35" t="s">
        <v>89</v>
      </c>
    </row>
    <row r="315">
      <c r="A315" s="81" t="s">
        <v>282</v>
      </c>
      <c r="B315" s="41" t="s">
        <v>1364</v>
      </c>
      <c r="C315" s="46">
        <v>8359.91</v>
      </c>
      <c r="D315" s="62" t="str">
        <f>HYPERLINK("https://osu.ppy.sh/u/1025587","Tentsuki")</f>
        <v>Tentsuki</v>
      </c>
      <c r="E315" s="35" t="s">
        <v>28</v>
      </c>
      <c r="F315" s="63">
        <v>800.0</v>
      </c>
      <c r="G315" s="66" t="s">
        <v>29</v>
      </c>
      <c r="H315" s="66" t="s">
        <v>1365</v>
      </c>
      <c r="I315" s="66" t="s">
        <v>31</v>
      </c>
      <c r="J315" s="67" t="s">
        <v>32</v>
      </c>
      <c r="K315" s="82"/>
      <c r="L315" s="61" t="s">
        <v>305</v>
      </c>
      <c r="M315" s="75" t="s">
        <v>1366</v>
      </c>
      <c r="N315" s="35" t="s">
        <v>604</v>
      </c>
      <c r="O315" s="35" t="s">
        <v>52</v>
      </c>
      <c r="P315" s="79"/>
      <c r="Q315" s="80"/>
      <c r="R315" s="80"/>
      <c r="S315" s="80"/>
      <c r="T315" s="69"/>
      <c r="U315" s="35" t="s">
        <v>1367</v>
      </c>
      <c r="V315" s="35" t="s">
        <v>491</v>
      </c>
    </row>
    <row r="316">
      <c r="A316" s="81" t="s">
        <v>1368</v>
      </c>
      <c r="B316" s="41" t="s">
        <v>1369</v>
      </c>
      <c r="C316" s="46">
        <v>8349.43</v>
      </c>
      <c r="D316" s="62" t="str">
        <f>HYPERLINK("https://osu.ppy.sh/u/3681024","Potatorz")</f>
        <v>Potatorz</v>
      </c>
      <c r="E316" s="35" t="s">
        <v>28</v>
      </c>
      <c r="F316" s="63">
        <v>800.0</v>
      </c>
      <c r="G316" s="66" t="s">
        <v>29</v>
      </c>
      <c r="H316" s="66" t="s">
        <v>1365</v>
      </c>
      <c r="I316" s="66" t="s">
        <v>1370</v>
      </c>
      <c r="J316" s="70" t="s">
        <v>32</v>
      </c>
      <c r="K316" s="71">
        <v>1000.0</v>
      </c>
      <c r="L316" s="61" t="s">
        <v>1371</v>
      </c>
      <c r="M316" s="75" t="s">
        <v>406</v>
      </c>
      <c r="N316" s="75" t="s">
        <v>430</v>
      </c>
      <c r="O316" s="35" t="s">
        <v>408</v>
      </c>
      <c r="P316" s="72">
        <v>105.0</v>
      </c>
      <c r="Q316" s="73">
        <v>130.0</v>
      </c>
      <c r="R316" s="73">
        <v>70.0</v>
      </c>
      <c r="S316" s="73">
        <v>43.0</v>
      </c>
      <c r="T316" s="61" t="s">
        <v>42</v>
      </c>
      <c r="U316" s="35" t="s">
        <v>369</v>
      </c>
      <c r="V316" s="35" t="s">
        <v>74</v>
      </c>
    </row>
    <row r="317">
      <c r="A317" s="81" t="s">
        <v>1372</v>
      </c>
      <c r="B317" s="41" t="s">
        <v>1373</v>
      </c>
      <c r="C317" s="46">
        <v>8348.84</v>
      </c>
      <c r="D317" s="105" t="str">
        <f>HYPERLINK("https://osu.ppy.sh/u/1082977","bnu")</f>
        <v>bnu</v>
      </c>
      <c r="E317" s="61" t="s">
        <v>28</v>
      </c>
      <c r="F317" s="100"/>
      <c r="G317" s="128"/>
      <c r="H317" s="128"/>
      <c r="I317" s="101"/>
      <c r="J317" s="129"/>
      <c r="K317" s="82"/>
      <c r="L317" s="69"/>
      <c r="M317" s="57"/>
      <c r="N317" s="69"/>
      <c r="O317" s="69"/>
      <c r="P317" s="79"/>
      <c r="Q317" s="80"/>
      <c r="R317" s="80"/>
      <c r="S317" s="80"/>
      <c r="T317" s="57"/>
      <c r="U317" s="1" t="s">
        <v>1374</v>
      </c>
      <c r="V317" s="40" t="s">
        <v>74</v>
      </c>
      <c r="Z317" s="45">
        <v>43160.0</v>
      </c>
    </row>
    <row r="318">
      <c r="A318" s="81" t="s">
        <v>1375</v>
      </c>
      <c r="B318" s="1" t="s">
        <v>1376</v>
      </c>
      <c r="C318" s="33">
        <v>8330.13</v>
      </c>
      <c r="D318" s="34" t="str">
        <f>HYPERLINK("https://osu.ppy.sh/u/6541404","Aus")</f>
        <v>Aus</v>
      </c>
      <c r="E318" s="41" t="s">
        <v>28</v>
      </c>
      <c r="F318" s="58" t="s">
        <v>171</v>
      </c>
      <c r="G318" s="48" t="s">
        <v>29</v>
      </c>
      <c r="H318" s="48" t="s">
        <v>620</v>
      </c>
      <c r="I318" s="48" t="s">
        <v>31</v>
      </c>
      <c r="J318" s="59" t="s">
        <v>32</v>
      </c>
      <c r="K318" s="74" t="s">
        <v>33</v>
      </c>
      <c r="L318" s="1" t="s">
        <v>1377</v>
      </c>
      <c r="M318" s="1" t="s">
        <v>173</v>
      </c>
      <c r="N318" s="1" t="s">
        <v>174</v>
      </c>
      <c r="O318" s="1" t="s">
        <v>121</v>
      </c>
      <c r="P318" s="42" t="s">
        <v>84</v>
      </c>
      <c r="Q318" s="43" t="s">
        <v>175</v>
      </c>
      <c r="R318" s="43" t="s">
        <v>86</v>
      </c>
      <c r="S318" s="43" t="s">
        <v>41</v>
      </c>
      <c r="T318" s="61" t="s">
        <v>42</v>
      </c>
      <c r="U318" s="1" t="s">
        <v>1378</v>
      </c>
      <c r="V318" s="1" t="s">
        <v>63</v>
      </c>
      <c r="Z318" s="45">
        <v>43617.0</v>
      </c>
    </row>
    <row r="319">
      <c r="A319" s="81" t="s">
        <v>285</v>
      </c>
      <c r="B319" s="102" t="s">
        <v>423</v>
      </c>
      <c r="C319" s="103">
        <v>8325.34</v>
      </c>
      <c r="D319" s="150" t="str">
        <f>HYPERLINK("https://osu.ppy.sh/u/6576972","Bae-")</f>
        <v>Bae-</v>
      </c>
      <c r="E319" s="40" t="s">
        <v>28</v>
      </c>
      <c r="F319" s="36">
        <v>1200.0</v>
      </c>
      <c r="G319" s="37"/>
      <c r="H319" s="37" t="s">
        <v>67</v>
      </c>
      <c r="I319" s="37" t="s">
        <v>31</v>
      </c>
      <c r="J319" s="38" t="s">
        <v>192</v>
      </c>
      <c r="K319" s="39"/>
      <c r="L319" s="69"/>
      <c r="M319" s="40" t="s">
        <v>364</v>
      </c>
      <c r="N319" s="1" t="s">
        <v>61</v>
      </c>
      <c r="O319" s="41" t="s">
        <v>365</v>
      </c>
      <c r="P319" s="85">
        <v>105.0</v>
      </c>
      <c r="Q319" s="87" t="s">
        <v>367</v>
      </c>
      <c r="R319" s="87" t="s">
        <v>347</v>
      </c>
      <c r="S319" s="87" t="s">
        <v>368</v>
      </c>
      <c r="T319" s="61" t="s">
        <v>42</v>
      </c>
      <c r="U319" s="40" t="s">
        <v>1379</v>
      </c>
      <c r="V319" s="40" t="s">
        <v>74</v>
      </c>
      <c r="Z319" s="45">
        <v>43009.0</v>
      </c>
    </row>
    <row r="320">
      <c r="A320" s="81" t="s">
        <v>1380</v>
      </c>
      <c r="B320" s="1" t="s">
        <v>1381</v>
      </c>
      <c r="C320" s="33">
        <v>8320.15</v>
      </c>
      <c r="D320" s="34" t="str">
        <f>HYPERLINK("https://osu.ppy.sh/u/1756476","-Garrick")</f>
        <v>-Garrick</v>
      </c>
      <c r="E320" s="52" t="s">
        <v>28</v>
      </c>
      <c r="F320" s="58" t="s">
        <v>77</v>
      </c>
      <c r="G320" s="53"/>
      <c r="H320" s="53"/>
      <c r="I320" s="48" t="s">
        <v>31</v>
      </c>
      <c r="J320" s="59" t="s">
        <v>32</v>
      </c>
      <c r="K320" s="60"/>
      <c r="M320" s="1" t="s">
        <v>1382</v>
      </c>
      <c r="N320" s="1" t="s">
        <v>92</v>
      </c>
      <c r="P320" s="91"/>
      <c r="Q320" s="92"/>
      <c r="R320" s="92"/>
      <c r="S320" s="92"/>
      <c r="U320" s="41" t="s">
        <v>62</v>
      </c>
      <c r="V320" s="41" t="s">
        <v>63</v>
      </c>
      <c r="Z320" s="45">
        <v>43191.0</v>
      </c>
    </row>
    <row r="321">
      <c r="A321" s="81" t="s">
        <v>1383</v>
      </c>
      <c r="B321" s="1" t="s">
        <v>1384</v>
      </c>
      <c r="C321" s="33">
        <v>8314.43</v>
      </c>
      <c r="D321" s="34" t="str">
        <f>HYPERLINK("https://osu.ppy.sh/u/2630538","JTttk")</f>
        <v>JTttk</v>
      </c>
      <c r="E321" s="55" t="s">
        <v>28</v>
      </c>
      <c r="F321" s="58">
        <v>400.0</v>
      </c>
      <c r="G321" s="48" t="s">
        <v>1172</v>
      </c>
      <c r="H321" s="48" t="s">
        <v>792</v>
      </c>
      <c r="I321" s="48" t="s">
        <v>31</v>
      </c>
      <c r="J321" s="54"/>
      <c r="K321" s="60"/>
      <c r="L321" s="53"/>
      <c r="P321" s="91"/>
      <c r="Q321" s="92"/>
      <c r="R321" s="93"/>
      <c r="S321" s="93"/>
      <c r="T321" s="53"/>
      <c r="U321" s="53"/>
    </row>
    <row r="322">
      <c r="A322" s="81" t="s">
        <v>1385</v>
      </c>
      <c r="B322" s="1" t="s">
        <v>1386</v>
      </c>
      <c r="C322" s="33">
        <v>8303.07</v>
      </c>
      <c r="D322" s="34" t="str">
        <f>HYPERLINK("https://osu.ppy.sh/u/10630304","Hutsune Miku")</f>
        <v>Hutsune Miku</v>
      </c>
      <c r="E322" s="52" t="s">
        <v>28</v>
      </c>
      <c r="F322" s="53"/>
      <c r="G322" s="53"/>
      <c r="H322" s="53"/>
      <c r="I322" s="53"/>
      <c r="J322" s="54"/>
      <c r="K322" s="53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Z322" s="45"/>
      <c r="AA322" s="57"/>
    </row>
    <row r="323">
      <c r="A323" s="81" t="s">
        <v>1387</v>
      </c>
      <c r="B323" s="41" t="s">
        <v>1388</v>
      </c>
      <c r="C323" s="46">
        <v>8288.31</v>
      </c>
      <c r="D323" s="47" t="str">
        <f>HYPERLINK("https://osu.ppy.sh/u/11217972","jackythecow")</f>
        <v>jackythecow</v>
      </c>
      <c r="E323" s="1" t="s">
        <v>28</v>
      </c>
      <c r="F323" s="48" t="s">
        <v>58</v>
      </c>
      <c r="G323" s="48" t="s">
        <v>29</v>
      </c>
      <c r="H323" s="48" t="s">
        <v>67</v>
      </c>
      <c r="I323" s="48" t="s">
        <v>31</v>
      </c>
      <c r="J323" s="59" t="s">
        <v>32</v>
      </c>
      <c r="K323" s="48" t="s">
        <v>81</v>
      </c>
      <c r="L323" s="1" t="s">
        <v>257</v>
      </c>
      <c r="M323" s="1" t="s">
        <v>185</v>
      </c>
      <c r="N323" s="1" t="s">
        <v>1346</v>
      </c>
      <c r="O323" s="40" t="s">
        <v>141</v>
      </c>
      <c r="P323" s="42" t="s">
        <v>187</v>
      </c>
      <c r="Q323" s="43" t="s">
        <v>39</v>
      </c>
      <c r="R323" s="43" t="s">
        <v>72</v>
      </c>
      <c r="S323" s="43" t="s">
        <v>41</v>
      </c>
      <c r="T323" s="40" t="s">
        <v>42</v>
      </c>
      <c r="U323" s="1" t="s">
        <v>1389</v>
      </c>
      <c r="V323" s="1" t="s">
        <v>74</v>
      </c>
      <c r="Z323" s="45">
        <v>43770.0</v>
      </c>
    </row>
    <row r="324">
      <c r="A324" s="81" t="s">
        <v>1390</v>
      </c>
      <c r="B324" s="1" t="s">
        <v>1391</v>
      </c>
      <c r="C324" s="33">
        <v>8279.52</v>
      </c>
      <c r="D324" s="34" t="str">
        <f>HYPERLINK("https://osu.ppy.sh/u/6210840","Magical Blossom")</f>
        <v>Magical Blossom</v>
      </c>
      <c r="E324" s="41" t="s">
        <v>28</v>
      </c>
      <c r="G324" s="53"/>
      <c r="I324" s="53"/>
      <c r="J324" s="54"/>
    </row>
    <row r="325">
      <c r="A325" s="81" t="s">
        <v>1392</v>
      </c>
      <c r="B325" s="1" t="s">
        <v>1393</v>
      </c>
      <c r="C325" s="33">
        <v>8266.17</v>
      </c>
      <c r="D325" s="34" t="str">
        <f>HYPERLINK("https://osu.ppy.sh/u/10609299","Gray Light")</f>
        <v>Gray Light</v>
      </c>
      <c r="E325" s="52" t="s">
        <v>28</v>
      </c>
      <c r="F325" s="48" t="s">
        <v>77</v>
      </c>
      <c r="G325" s="48" t="s">
        <v>29</v>
      </c>
      <c r="H325" s="48" t="s">
        <v>172</v>
      </c>
      <c r="I325" s="48" t="s">
        <v>31</v>
      </c>
      <c r="J325" s="59" t="s">
        <v>32</v>
      </c>
      <c r="K325" s="48" t="s">
        <v>33</v>
      </c>
      <c r="L325" s="1" t="s">
        <v>411</v>
      </c>
      <c r="M325" s="55" t="s">
        <v>793</v>
      </c>
      <c r="N325" s="55" t="s">
        <v>174</v>
      </c>
      <c r="O325" s="41" t="s">
        <v>496</v>
      </c>
      <c r="P325" s="48" t="s">
        <v>366</v>
      </c>
      <c r="Q325" s="48" t="s">
        <v>367</v>
      </c>
      <c r="R325" s="48" t="s">
        <v>347</v>
      </c>
      <c r="S325" s="48" t="s">
        <v>368</v>
      </c>
      <c r="T325" s="40" t="s">
        <v>42</v>
      </c>
      <c r="U325" s="56"/>
      <c r="V325" s="56"/>
      <c r="Z325" s="45">
        <v>44105.0</v>
      </c>
      <c r="AA325" s="57"/>
    </row>
    <row r="326">
      <c r="A326" s="81" t="s">
        <v>1394</v>
      </c>
      <c r="B326" s="1" t="s">
        <v>1395</v>
      </c>
      <c r="C326" s="33">
        <v>8261.45</v>
      </c>
      <c r="D326" s="34" t="str">
        <f>HYPERLINK("https://osu.ppy.sh/u/377473","cplayer")</f>
        <v>cplayer</v>
      </c>
      <c r="E326" s="40" t="s">
        <v>28</v>
      </c>
      <c r="F326" s="58" t="s">
        <v>58</v>
      </c>
      <c r="G326" s="48" t="s">
        <v>29</v>
      </c>
      <c r="H326" s="48" t="s">
        <v>67</v>
      </c>
      <c r="I326" s="48" t="s">
        <v>98</v>
      </c>
      <c r="J326" s="59" t="s">
        <v>192</v>
      </c>
      <c r="K326" s="74" t="s">
        <v>33</v>
      </c>
      <c r="L326" s="1" t="s">
        <v>114</v>
      </c>
      <c r="M326" s="1" t="s">
        <v>139</v>
      </c>
      <c r="N326" s="1" t="s">
        <v>1396</v>
      </c>
      <c r="O326" s="40" t="s">
        <v>141</v>
      </c>
      <c r="P326" s="42" t="s">
        <v>71</v>
      </c>
      <c r="Q326" s="43" t="s">
        <v>39</v>
      </c>
      <c r="R326" s="43" t="s">
        <v>72</v>
      </c>
      <c r="S326" s="43" t="s">
        <v>41</v>
      </c>
      <c r="T326" s="40" t="s">
        <v>42</v>
      </c>
      <c r="U326" s="1" t="s">
        <v>1397</v>
      </c>
      <c r="V326" s="1" t="s">
        <v>74</v>
      </c>
      <c r="Z326" s="45">
        <v>43831.0</v>
      </c>
    </row>
    <row r="327">
      <c r="A327" s="81" t="s">
        <v>1398</v>
      </c>
      <c r="B327" s="41" t="s">
        <v>1399</v>
      </c>
      <c r="C327" s="46">
        <v>8254.73</v>
      </c>
      <c r="D327" s="47" t="str">
        <f>HYPERLINK("https://osu.ppy.sh/u/4685335","Lea")</f>
        <v>Lea</v>
      </c>
      <c r="E327" s="52" t="s">
        <v>28</v>
      </c>
      <c r="F327" s="100"/>
      <c r="G327" s="101"/>
      <c r="H327" s="101"/>
      <c r="I327" s="101"/>
      <c r="J327" s="49"/>
      <c r="K327" s="82"/>
      <c r="L327" s="69"/>
      <c r="M327" s="69"/>
      <c r="N327" s="69"/>
      <c r="O327" s="69"/>
      <c r="P327" s="79"/>
      <c r="Q327" s="80"/>
      <c r="R327" s="80"/>
      <c r="S327" s="80"/>
      <c r="T327" s="69"/>
      <c r="U327" s="69"/>
      <c r="V327" s="69"/>
    </row>
    <row r="328">
      <c r="A328" s="81" t="s">
        <v>1400</v>
      </c>
      <c r="B328" s="1" t="s">
        <v>1401</v>
      </c>
      <c r="C328" s="33">
        <v>8230.2</v>
      </c>
      <c r="D328" s="34" t="str">
        <f>HYPERLINK("https://osu.ppy.sh/u/8757297","Aris")</f>
        <v>Aris</v>
      </c>
      <c r="E328" s="41"/>
      <c r="F328" s="58"/>
      <c r="G328" s="53"/>
      <c r="H328" s="53"/>
      <c r="I328" s="53"/>
      <c r="J328" s="54"/>
      <c r="K328" s="60"/>
      <c r="P328" s="91"/>
      <c r="Q328" s="92"/>
      <c r="R328" s="92"/>
      <c r="S328" s="92"/>
      <c r="Z328" s="45"/>
    </row>
    <row r="329">
      <c r="A329" s="81" t="s">
        <v>1402</v>
      </c>
      <c r="B329" s="1" t="s">
        <v>1403</v>
      </c>
      <c r="C329" s="33">
        <v>8221.89</v>
      </c>
      <c r="D329" s="34" t="str">
        <f>HYPERLINK("https://osu.ppy.sh/u/1868745","moosepi")</f>
        <v>moosepi</v>
      </c>
      <c r="E329" s="35" t="s">
        <v>571</v>
      </c>
      <c r="F329" s="58" t="s">
        <v>47</v>
      </c>
      <c r="G329" s="48" t="s">
        <v>29</v>
      </c>
      <c r="H329" s="48" t="s">
        <v>67</v>
      </c>
      <c r="I329" s="48" t="s">
        <v>31</v>
      </c>
      <c r="J329" s="59" t="s">
        <v>192</v>
      </c>
      <c r="K329" s="74" t="s">
        <v>33</v>
      </c>
      <c r="L329" s="1" t="s">
        <v>540</v>
      </c>
      <c r="M329" s="1" t="s">
        <v>1404</v>
      </c>
      <c r="N329" s="1" t="s">
        <v>1088</v>
      </c>
      <c r="O329" s="41"/>
      <c r="P329" s="91"/>
      <c r="Q329" s="92"/>
      <c r="R329" s="92"/>
      <c r="S329" s="92"/>
      <c r="Z329" s="45">
        <v>43282.0</v>
      </c>
    </row>
    <row r="330">
      <c r="A330" s="81" t="s">
        <v>291</v>
      </c>
      <c r="B330" s="41" t="s">
        <v>1405</v>
      </c>
      <c r="C330" s="46">
        <v>8219.29</v>
      </c>
      <c r="D330" s="83" t="str">
        <f>HYPERLINK("https://osu.ppy.sh/u/3692940","slushy")</f>
        <v>slushy</v>
      </c>
      <c r="E330" s="52" t="s">
        <v>28</v>
      </c>
      <c r="F330" s="36">
        <v>1800.0</v>
      </c>
      <c r="G330" s="37" t="s">
        <v>29</v>
      </c>
      <c r="H330" s="37" t="s">
        <v>59</v>
      </c>
      <c r="I330" s="37" t="s">
        <v>31</v>
      </c>
      <c r="J330" s="38" t="s">
        <v>32</v>
      </c>
      <c r="K330" s="39">
        <v>1000.0</v>
      </c>
      <c r="L330" s="40" t="s">
        <v>807</v>
      </c>
      <c r="M330" s="35" t="s">
        <v>658</v>
      </c>
      <c r="N330" s="40" t="s">
        <v>1104</v>
      </c>
      <c r="O330" s="35" t="s">
        <v>52</v>
      </c>
      <c r="P330" s="72">
        <v>102.0</v>
      </c>
      <c r="Q330" s="73">
        <v>131.0</v>
      </c>
      <c r="R330" s="73">
        <v>72.0</v>
      </c>
      <c r="S330" s="73">
        <v>42.0</v>
      </c>
      <c r="T330" s="44" t="s">
        <v>218</v>
      </c>
      <c r="U330" s="41" t="s">
        <v>369</v>
      </c>
      <c r="V330" s="41" t="s">
        <v>74</v>
      </c>
      <c r="Z330" s="45">
        <v>42917.0</v>
      </c>
    </row>
    <row r="331">
      <c r="A331" s="81" t="s">
        <v>1406</v>
      </c>
      <c r="B331" s="1" t="s">
        <v>1407</v>
      </c>
      <c r="C331" s="33">
        <v>8219.26</v>
      </c>
      <c r="D331" s="34" t="str">
        <f>HYPERLINK("https://osu.ppy.sh/u/7405659","Taiga Tiger")</f>
        <v>Taiga Tiger</v>
      </c>
      <c r="E331" s="52" t="s">
        <v>28</v>
      </c>
      <c r="F331" s="36" t="s">
        <v>77</v>
      </c>
      <c r="G331" s="37" t="s">
        <v>29</v>
      </c>
      <c r="H331" s="37" t="s">
        <v>1408</v>
      </c>
      <c r="I331" s="37" t="s">
        <v>336</v>
      </c>
      <c r="J331" s="38" t="s">
        <v>32</v>
      </c>
      <c r="K331" s="39" t="s">
        <v>33</v>
      </c>
      <c r="L331" s="40" t="s">
        <v>1298</v>
      </c>
      <c r="M331" s="1" t="s">
        <v>238</v>
      </c>
      <c r="N331" s="40" t="s">
        <v>1409</v>
      </c>
      <c r="O331" s="75" t="s">
        <v>70</v>
      </c>
      <c r="P331" s="72">
        <v>126.0</v>
      </c>
      <c r="Q331" s="73">
        <v>128.0</v>
      </c>
      <c r="R331" s="73">
        <v>76.0</v>
      </c>
      <c r="S331" s="73">
        <v>42.0</v>
      </c>
      <c r="T331" s="52" t="s">
        <v>42</v>
      </c>
      <c r="U331" s="40" t="s">
        <v>1410</v>
      </c>
      <c r="V331" s="40" t="s">
        <v>74</v>
      </c>
      <c r="Z331" s="45">
        <v>43313.0</v>
      </c>
      <c r="AA331" s="57"/>
    </row>
    <row r="332">
      <c r="A332" s="81" t="s">
        <v>1411</v>
      </c>
      <c r="B332" s="1" t="s">
        <v>1412</v>
      </c>
      <c r="C332" s="33">
        <v>8214.12</v>
      </c>
      <c r="D332" s="34" t="str">
        <f>HYPERLINK("https://osu.ppy.sh/u/2476728","Shokobear")</f>
        <v>Shokobear</v>
      </c>
      <c r="E332" s="55" t="s">
        <v>28</v>
      </c>
      <c r="F332" s="109"/>
      <c r="G332" s="53"/>
      <c r="H332" s="53"/>
      <c r="I332" s="53"/>
      <c r="J332" s="54"/>
      <c r="K332" s="60"/>
      <c r="L332" s="53"/>
      <c r="P332" s="91"/>
      <c r="Q332" s="92"/>
      <c r="R332" s="93"/>
      <c r="S332" s="93"/>
      <c r="T332" s="53"/>
      <c r="U332" s="53"/>
    </row>
    <row r="333">
      <c r="A333" s="81" t="s">
        <v>1413</v>
      </c>
      <c r="B333" s="41" t="s">
        <v>1414</v>
      </c>
      <c r="C333" s="46">
        <v>8204.6</v>
      </c>
      <c r="D333" s="116" t="str">
        <f>HYPERLINK("https://osu.ppy.sh/u/10028762","jpjtyld")</f>
        <v>jpjtyld</v>
      </c>
      <c r="E333" s="1" t="s">
        <v>372</v>
      </c>
    </row>
    <row r="334">
      <c r="A334" s="81" t="s">
        <v>1415</v>
      </c>
      <c r="B334" s="41" t="s">
        <v>1416</v>
      </c>
      <c r="C334" s="46">
        <v>8200.22</v>
      </c>
      <c r="D334" s="62" t="str">
        <f>HYPERLINK("https://osu.ppy.sh/u/213014","PeaChick")</f>
        <v>PeaChick</v>
      </c>
      <c r="E334" s="61" t="s">
        <v>372</v>
      </c>
      <c r="F334" s="63">
        <v>800.0</v>
      </c>
      <c r="G334" s="66" t="s">
        <v>29</v>
      </c>
      <c r="H334" s="66" t="s">
        <v>67</v>
      </c>
      <c r="I334" s="66" t="s">
        <v>31</v>
      </c>
      <c r="J334" s="70" t="s">
        <v>192</v>
      </c>
      <c r="K334" s="71">
        <v>1000.0</v>
      </c>
      <c r="L334" s="61" t="s">
        <v>222</v>
      </c>
      <c r="M334" s="35" t="s">
        <v>485</v>
      </c>
      <c r="N334" s="35" t="s">
        <v>179</v>
      </c>
      <c r="O334" s="41" t="s">
        <v>52</v>
      </c>
      <c r="P334" s="72">
        <v>130.0</v>
      </c>
      <c r="Q334" s="73">
        <v>133.0</v>
      </c>
      <c r="R334" s="73">
        <v>70.0</v>
      </c>
      <c r="S334" s="73">
        <v>46.0</v>
      </c>
      <c r="T334" s="44" t="s">
        <v>218</v>
      </c>
      <c r="U334" s="75" t="s">
        <v>609</v>
      </c>
      <c r="V334" s="75" t="s">
        <v>94</v>
      </c>
      <c r="Z334" s="45">
        <v>42795.0</v>
      </c>
    </row>
    <row r="335">
      <c r="A335" s="81" t="s">
        <v>1417</v>
      </c>
      <c r="B335" s="1" t="s">
        <v>1418</v>
      </c>
      <c r="C335" s="33">
        <v>8195.27</v>
      </c>
      <c r="D335" s="34" t="str">
        <f>HYPERLINK("https://osu.ppy.sh/u/909745","Takaichi")</f>
        <v>Takaichi</v>
      </c>
      <c r="E335" s="40"/>
      <c r="F335" s="48"/>
      <c r="G335" s="37"/>
      <c r="H335" s="48"/>
      <c r="I335" s="48"/>
      <c r="J335" s="59"/>
      <c r="K335" s="53"/>
      <c r="L335" s="1"/>
      <c r="M335" s="40"/>
      <c r="N335" s="56"/>
      <c r="O335" s="35"/>
      <c r="P335" s="72"/>
      <c r="Q335" s="73"/>
      <c r="R335" s="73"/>
      <c r="S335" s="73"/>
      <c r="T335" s="61"/>
      <c r="U335" s="55"/>
      <c r="V335" s="55"/>
      <c r="Z335" s="45"/>
      <c r="AA335" s="57"/>
    </row>
    <row r="336">
      <c r="A336" s="81" t="s">
        <v>298</v>
      </c>
      <c r="B336" s="41" t="s">
        <v>1419</v>
      </c>
      <c r="C336" s="46">
        <v>8193.42</v>
      </c>
      <c r="D336" s="62" t="str">
        <f>HYPERLINK("https://osu.ppy.sh/u/1225459","Kenny")</f>
        <v>Kenny</v>
      </c>
      <c r="E336" s="61" t="s">
        <v>320</v>
      </c>
      <c r="F336" s="63">
        <v>400.0</v>
      </c>
      <c r="G336" s="64" t="s">
        <v>78</v>
      </c>
      <c r="H336" s="64" t="s">
        <v>1420</v>
      </c>
      <c r="I336" s="64" t="s">
        <v>106</v>
      </c>
      <c r="J336" s="67" t="s">
        <v>32</v>
      </c>
      <c r="K336" s="71">
        <v>125.0</v>
      </c>
      <c r="L336" s="44" t="s">
        <v>1421</v>
      </c>
      <c r="M336" s="35" t="s">
        <v>1422</v>
      </c>
      <c r="N336" s="35" t="s">
        <v>179</v>
      </c>
      <c r="O336" s="35" t="s">
        <v>1423</v>
      </c>
      <c r="P336" s="79"/>
      <c r="Q336" s="80"/>
      <c r="R336" s="80"/>
      <c r="S336" s="80"/>
      <c r="T336" s="57"/>
      <c r="U336" s="75" t="s">
        <v>1424</v>
      </c>
      <c r="V336" s="75" t="s">
        <v>74</v>
      </c>
    </row>
    <row r="337">
      <c r="A337" s="81" t="s">
        <v>1425</v>
      </c>
      <c r="B337" s="41" t="s">
        <v>1426</v>
      </c>
      <c r="C337" s="46">
        <v>8189.82</v>
      </c>
      <c r="D337" s="84" t="str">
        <f>HYPERLINK("https://osu.ppy.sh/u/4871378","Braixen")</f>
        <v>Braixen</v>
      </c>
      <c r="E337" s="52" t="s">
        <v>28</v>
      </c>
      <c r="F337" s="63">
        <v>1000.0</v>
      </c>
      <c r="G337" s="65" t="s">
        <v>29</v>
      </c>
      <c r="H337" s="65" t="s">
        <v>1427</v>
      </c>
      <c r="I337" s="65" t="s">
        <v>106</v>
      </c>
      <c r="J337" s="89" t="s">
        <v>32</v>
      </c>
      <c r="K337" s="39">
        <v>125.0</v>
      </c>
      <c r="L337" s="52" t="s">
        <v>1428</v>
      </c>
      <c r="M337" s="41" t="s">
        <v>1429</v>
      </c>
      <c r="N337" s="41" t="s">
        <v>430</v>
      </c>
      <c r="O337" s="35"/>
      <c r="P337" s="79"/>
      <c r="Q337" s="80"/>
      <c r="R337" s="80"/>
      <c r="S337" s="80"/>
      <c r="T337" s="57"/>
      <c r="U337" s="41" t="s">
        <v>1430</v>
      </c>
      <c r="V337" s="41" t="s">
        <v>63</v>
      </c>
      <c r="Z337" s="45">
        <v>42917.0</v>
      </c>
    </row>
    <row r="338">
      <c r="A338" s="81" t="s">
        <v>1431</v>
      </c>
      <c r="B338" s="111" t="s">
        <v>423</v>
      </c>
      <c r="C338" s="112">
        <v>8177.59</v>
      </c>
      <c r="D338" s="113" t="str">
        <f>HYPERLINK("https://osu.ppy.sh/u/4780525","VankaTa")</f>
        <v>VankaTa</v>
      </c>
      <c r="E338" s="41" t="s">
        <v>28</v>
      </c>
      <c r="F338" s="109"/>
      <c r="G338" s="53"/>
      <c r="H338" s="53"/>
      <c r="I338" s="53"/>
      <c r="J338" s="54"/>
      <c r="K338" s="60"/>
      <c r="P338" s="91"/>
      <c r="Q338" s="92"/>
      <c r="R338" s="92"/>
      <c r="S338" s="92"/>
      <c r="Z338" s="45"/>
    </row>
    <row r="339">
      <c r="A339" s="81" t="s">
        <v>1432</v>
      </c>
      <c r="B339" s="41" t="s">
        <v>1433</v>
      </c>
      <c r="C339" s="46">
        <v>8167.76</v>
      </c>
      <c r="D339" s="83" t="str">
        <f>HYPERLINK("https://osu.ppy.sh/u/7095800","96013M88")</f>
        <v>96013M88</v>
      </c>
      <c r="E339" s="41" t="s">
        <v>571</v>
      </c>
      <c r="F339" s="63">
        <v>2400.0</v>
      </c>
      <c r="G339" s="65" t="s">
        <v>29</v>
      </c>
      <c r="H339" s="66"/>
      <c r="I339" s="65" t="s">
        <v>267</v>
      </c>
      <c r="J339" s="67"/>
      <c r="K339" s="82"/>
      <c r="L339" s="61"/>
      <c r="M339" s="41" t="s">
        <v>238</v>
      </c>
      <c r="N339" s="35"/>
      <c r="O339" s="1" t="s">
        <v>70</v>
      </c>
      <c r="P339" s="85">
        <v>126.0</v>
      </c>
      <c r="Q339" s="86">
        <v>128.0</v>
      </c>
      <c r="R339" s="87">
        <v>76.0</v>
      </c>
      <c r="S339" s="87">
        <v>42.0</v>
      </c>
      <c r="T339" s="55" t="s">
        <v>42</v>
      </c>
      <c r="U339" s="35"/>
      <c r="V339" s="35"/>
    </row>
    <row r="340">
      <c r="A340" s="81" t="s">
        <v>1434</v>
      </c>
      <c r="B340" s="1" t="s">
        <v>1435</v>
      </c>
      <c r="C340" s="33">
        <v>8164.21</v>
      </c>
      <c r="D340" s="34" t="str">
        <f>HYPERLINK("https://osu.ppy.sh/u/7904667","xidorn")</f>
        <v>xidorn</v>
      </c>
      <c r="E340" s="40"/>
      <c r="F340" s="48"/>
      <c r="G340" s="37"/>
      <c r="H340" s="48"/>
      <c r="I340" s="48"/>
      <c r="J340" s="59"/>
      <c r="K340" s="53"/>
      <c r="L340" s="1"/>
      <c r="M340" s="40"/>
      <c r="N340" s="56"/>
      <c r="O340" s="35"/>
      <c r="P340" s="72"/>
      <c r="Q340" s="73"/>
      <c r="R340" s="73"/>
      <c r="S340" s="73"/>
      <c r="T340" s="61"/>
      <c r="U340" s="55"/>
      <c r="V340" s="55"/>
      <c r="Z340" s="45"/>
      <c r="AA340" s="57"/>
    </row>
    <row r="341">
      <c r="A341" s="81" t="s">
        <v>1436</v>
      </c>
      <c r="B341" s="41" t="s">
        <v>1437</v>
      </c>
      <c r="C341" s="46">
        <v>8138.32</v>
      </c>
      <c r="D341" s="105" t="str">
        <f>HYPERLINK("https://osu.ppy.sh/u/2533463","Princess-")</f>
        <v>Princess-</v>
      </c>
      <c r="E341" s="61" t="s">
        <v>28</v>
      </c>
      <c r="F341" s="63">
        <v>800.0</v>
      </c>
      <c r="G341" s="66" t="s">
        <v>29</v>
      </c>
      <c r="H341" s="66" t="s">
        <v>67</v>
      </c>
      <c r="I341" s="66" t="s">
        <v>404</v>
      </c>
      <c r="J341" s="70" t="s">
        <v>32</v>
      </c>
      <c r="K341" s="71">
        <v>1000.0</v>
      </c>
      <c r="L341" s="61" t="s">
        <v>257</v>
      </c>
      <c r="M341" s="35" t="s">
        <v>1438</v>
      </c>
      <c r="N341" s="35" t="s">
        <v>780</v>
      </c>
      <c r="O341" s="35" t="s">
        <v>496</v>
      </c>
      <c r="P341" s="72">
        <v>105.0</v>
      </c>
      <c r="Q341" s="73">
        <v>127.0</v>
      </c>
      <c r="R341" s="73">
        <v>70.0</v>
      </c>
      <c r="S341" s="73">
        <v>44.0</v>
      </c>
      <c r="T341" s="61" t="s">
        <v>42</v>
      </c>
      <c r="U341" s="35" t="s">
        <v>1244</v>
      </c>
      <c r="V341" s="35" t="s">
        <v>63</v>
      </c>
      <c r="Z341" s="45">
        <v>42644.0</v>
      </c>
    </row>
    <row r="342">
      <c r="A342" s="81" t="s">
        <v>1439</v>
      </c>
      <c r="B342" s="41" t="s">
        <v>1440</v>
      </c>
      <c r="C342" s="46">
        <v>8124.67</v>
      </c>
      <c r="D342" s="62" t="str">
        <f>HYPERLINK("https://osu.ppy.sh/u/2316751","Volcanism")</f>
        <v>Volcanism</v>
      </c>
      <c r="E342" s="40" t="s">
        <v>28</v>
      </c>
      <c r="F342" s="36">
        <v>800.0</v>
      </c>
      <c r="G342" s="37" t="s">
        <v>29</v>
      </c>
      <c r="H342" s="37" t="s">
        <v>67</v>
      </c>
      <c r="I342" s="37" t="s">
        <v>31</v>
      </c>
      <c r="J342" s="38" t="s">
        <v>32</v>
      </c>
      <c r="K342" s="39">
        <v>1000.0</v>
      </c>
      <c r="L342" s="52" t="s">
        <v>222</v>
      </c>
      <c r="M342" s="40" t="s">
        <v>1441</v>
      </c>
      <c r="N342" s="40" t="s">
        <v>179</v>
      </c>
      <c r="O342" s="40" t="s">
        <v>278</v>
      </c>
      <c r="P342" s="79"/>
      <c r="Q342" s="80"/>
      <c r="R342" s="80"/>
      <c r="S342" s="80"/>
      <c r="T342" s="40" t="s">
        <v>42</v>
      </c>
      <c r="U342" s="40" t="s">
        <v>1442</v>
      </c>
      <c r="V342" s="40" t="s">
        <v>74</v>
      </c>
    </row>
    <row r="343">
      <c r="A343" s="81" t="s">
        <v>1443</v>
      </c>
      <c r="B343" s="1" t="s">
        <v>1444</v>
      </c>
      <c r="C343" s="33">
        <v>8121.37</v>
      </c>
      <c r="D343" s="34" t="str">
        <f>HYPERLINK("https://osu.ppy.sh/u/10860292","plebfi")</f>
        <v>plebfi</v>
      </c>
      <c r="E343" s="40"/>
      <c r="F343" s="48"/>
      <c r="G343" s="37"/>
      <c r="H343" s="48"/>
      <c r="I343" s="48"/>
      <c r="J343" s="59"/>
      <c r="K343" s="53"/>
      <c r="L343" s="1"/>
      <c r="M343" s="40"/>
      <c r="N343" s="56"/>
      <c r="O343" s="35"/>
      <c r="P343" s="72"/>
      <c r="Q343" s="73"/>
      <c r="R343" s="73"/>
      <c r="S343" s="73"/>
      <c r="T343" s="61"/>
      <c r="U343" s="55"/>
      <c r="V343" s="55"/>
      <c r="Z343" s="45"/>
      <c r="AA343" s="57"/>
    </row>
    <row r="344">
      <c r="A344" s="81" t="s">
        <v>1445</v>
      </c>
      <c r="B344" s="41" t="s">
        <v>1446</v>
      </c>
      <c r="C344" s="46">
        <v>8120.48</v>
      </c>
      <c r="D344" s="83" t="str">
        <f>HYPERLINK("https://osu.ppy.sh/u/676857","Betbuc")</f>
        <v>Betbuc</v>
      </c>
      <c r="E344" s="40" t="s">
        <v>28</v>
      </c>
      <c r="F344" s="36">
        <v>1000.0</v>
      </c>
      <c r="G344" s="37" t="s">
        <v>29</v>
      </c>
      <c r="H344" s="37" t="s">
        <v>723</v>
      </c>
      <c r="I344" s="37" t="s">
        <v>106</v>
      </c>
      <c r="J344" s="38" t="s">
        <v>32</v>
      </c>
      <c r="K344" s="39">
        <v>1000.0</v>
      </c>
      <c r="L344" s="40" t="s">
        <v>257</v>
      </c>
      <c r="M344" s="41" t="s">
        <v>288</v>
      </c>
      <c r="N344" s="40" t="s">
        <v>179</v>
      </c>
      <c r="O344" s="40" t="s">
        <v>109</v>
      </c>
      <c r="P344" s="42">
        <v>85.0</v>
      </c>
      <c r="Q344" s="43">
        <v>117.0</v>
      </c>
      <c r="R344" s="43">
        <v>62.0</v>
      </c>
      <c r="S344" s="43">
        <v>38.0</v>
      </c>
      <c r="T344" s="40" t="s">
        <v>42</v>
      </c>
      <c r="U344" s="40" t="s">
        <v>62</v>
      </c>
      <c r="V344" s="40" t="s">
        <v>63</v>
      </c>
      <c r="Z344" s="45">
        <v>42826.0</v>
      </c>
    </row>
    <row r="345">
      <c r="A345" s="81" t="s">
        <v>1447</v>
      </c>
      <c r="B345" s="1" t="s">
        <v>1448</v>
      </c>
      <c r="C345" s="33">
        <v>8114.58</v>
      </c>
      <c r="D345" s="34" t="str">
        <f>HYPERLINK("https://osu.ppy.sh/u/2723790","[Leo]")</f>
        <v>[Leo]</v>
      </c>
      <c r="E345" s="41" t="s">
        <v>28</v>
      </c>
      <c r="F345" s="109"/>
      <c r="G345" s="53"/>
      <c r="H345" s="53"/>
      <c r="I345" s="53"/>
      <c r="J345" s="54"/>
      <c r="K345" s="60"/>
      <c r="P345" s="91"/>
      <c r="Q345" s="92"/>
      <c r="R345" s="92"/>
      <c r="S345" s="92"/>
      <c r="Z345" s="45"/>
    </row>
    <row r="346">
      <c r="A346" s="81" t="s">
        <v>1449</v>
      </c>
      <c r="B346" s="1" t="s">
        <v>1450</v>
      </c>
      <c r="C346" s="33">
        <v>8112.5</v>
      </c>
      <c r="D346" s="94" t="str">
        <f>HYPERLINK("https://osu.ppy.sh/u/10925181","vxx")</f>
        <v>vxx</v>
      </c>
      <c r="E346" s="41" t="s">
        <v>28</v>
      </c>
      <c r="F346" s="151"/>
      <c r="G346" s="53"/>
      <c r="H346" s="53"/>
      <c r="I346" s="53"/>
      <c r="J346" s="54"/>
      <c r="K346" s="152"/>
      <c r="P346" s="91"/>
      <c r="Q346" s="92"/>
      <c r="R346" s="92"/>
      <c r="S346" s="92"/>
    </row>
    <row r="347">
      <c r="A347" s="81" t="s">
        <v>1451</v>
      </c>
      <c r="B347" s="41" t="s">
        <v>1452</v>
      </c>
      <c r="C347" s="46">
        <v>8111.92</v>
      </c>
      <c r="D347" s="83" t="str">
        <f>HYPERLINK("https://osu.ppy.sh/u/2913127","aska")</f>
        <v>aska</v>
      </c>
      <c r="E347" s="52" t="s">
        <v>28</v>
      </c>
      <c r="F347" s="63">
        <v>400.0</v>
      </c>
      <c r="G347" s="65" t="s">
        <v>29</v>
      </c>
      <c r="H347" s="65" t="s">
        <v>1453</v>
      </c>
      <c r="I347" s="65" t="s">
        <v>31</v>
      </c>
      <c r="J347" s="70"/>
      <c r="K347" s="71">
        <v>1000.0</v>
      </c>
      <c r="L347" s="52" t="s">
        <v>484</v>
      </c>
      <c r="M347" s="41" t="s">
        <v>199</v>
      </c>
      <c r="N347" s="41" t="s">
        <v>179</v>
      </c>
      <c r="O347" s="35" t="s">
        <v>201</v>
      </c>
      <c r="P347" s="72">
        <v>103.0</v>
      </c>
      <c r="Q347" s="73">
        <v>136.0</v>
      </c>
      <c r="R347" s="73">
        <v>72.0</v>
      </c>
      <c r="S347" s="73">
        <v>41.0</v>
      </c>
      <c r="T347" s="61" t="s">
        <v>42</v>
      </c>
      <c r="U347" s="41" t="s">
        <v>1454</v>
      </c>
      <c r="V347" s="41" t="s">
        <v>899</v>
      </c>
      <c r="Z347" s="45">
        <v>42795.0</v>
      </c>
    </row>
    <row r="348">
      <c r="A348" s="81" t="s">
        <v>1455</v>
      </c>
      <c r="B348" s="1" t="s">
        <v>1456</v>
      </c>
      <c r="C348" s="33">
        <v>8094.31</v>
      </c>
      <c r="D348" s="34" t="str">
        <f>HYPERLINK("https://osu.ppy.sh/u/3906405","Sylas")</f>
        <v>Sylas</v>
      </c>
      <c r="E348" s="41" t="s">
        <v>28</v>
      </c>
      <c r="G348" s="53"/>
      <c r="I348" s="53"/>
      <c r="J348" s="54"/>
    </row>
    <row r="349">
      <c r="A349" s="81" t="s">
        <v>1457</v>
      </c>
      <c r="B349" s="111" t="s">
        <v>423</v>
      </c>
      <c r="C349" s="112">
        <v>8071.77</v>
      </c>
      <c r="D349" s="153" t="str">
        <f>HYPERLINK("https://osu.ppy.sh/u/5515561","Price")</f>
        <v>Price</v>
      </c>
      <c r="E349" s="41" t="s">
        <v>28</v>
      </c>
      <c r="F349" s="151"/>
      <c r="G349" s="53"/>
      <c r="H349" s="53"/>
      <c r="I349" s="53"/>
      <c r="J349" s="54"/>
      <c r="K349" s="39"/>
      <c r="P349" s="91"/>
      <c r="Q349" s="92"/>
      <c r="R349" s="92"/>
      <c r="S349" s="92"/>
    </row>
    <row r="350">
      <c r="A350" s="81" t="s">
        <v>1458</v>
      </c>
      <c r="B350" s="41" t="s">
        <v>1459</v>
      </c>
      <c r="C350" s="46">
        <v>8062.1</v>
      </c>
      <c r="D350" s="62" t="str">
        <f>HYPERLINK("https://osu.ppy.sh/u/2305984","boncuss")</f>
        <v>boncuss</v>
      </c>
      <c r="E350" s="35" t="s">
        <v>571</v>
      </c>
      <c r="F350" s="63">
        <v>300.0</v>
      </c>
      <c r="G350" s="66" t="s">
        <v>29</v>
      </c>
      <c r="H350" s="66" t="s">
        <v>67</v>
      </c>
      <c r="I350" s="66" t="s">
        <v>31</v>
      </c>
      <c r="J350" s="70" t="s">
        <v>192</v>
      </c>
      <c r="K350" s="71"/>
      <c r="L350" s="52" t="s">
        <v>1460</v>
      </c>
      <c r="M350" s="41" t="s">
        <v>1461</v>
      </c>
      <c r="N350" s="41" t="s">
        <v>1462</v>
      </c>
      <c r="O350" s="35"/>
      <c r="P350" s="72"/>
      <c r="Q350" s="73"/>
      <c r="R350" s="73"/>
      <c r="S350" s="73"/>
      <c r="T350" s="61"/>
      <c r="U350" s="69"/>
      <c r="V350" s="69"/>
      <c r="Z350" s="45">
        <v>43556.0</v>
      </c>
    </row>
    <row r="351">
      <c r="A351" s="81" t="s">
        <v>1463</v>
      </c>
      <c r="B351" s="1" t="s">
        <v>1464</v>
      </c>
      <c r="C351" s="33">
        <v>8058.14</v>
      </c>
      <c r="D351" s="34" t="str">
        <f>HYPERLINK("https://osu.ppy.sh/u/5720463","MrCrowley")</f>
        <v>MrCrowley</v>
      </c>
      <c r="E351" s="41" t="s">
        <v>28</v>
      </c>
      <c r="F351" s="58" t="s">
        <v>105</v>
      </c>
      <c r="G351" s="48" t="s">
        <v>29</v>
      </c>
      <c r="H351" s="48" t="s">
        <v>1465</v>
      </c>
      <c r="I351" s="48" t="s">
        <v>267</v>
      </c>
      <c r="J351" s="54"/>
      <c r="K351" s="74" t="s">
        <v>1029</v>
      </c>
      <c r="M351" s="1" t="s">
        <v>199</v>
      </c>
      <c r="N351" s="1" t="s">
        <v>179</v>
      </c>
      <c r="O351" s="35" t="s">
        <v>201</v>
      </c>
      <c r="P351" s="72">
        <v>103.0</v>
      </c>
      <c r="Q351" s="73">
        <v>136.0</v>
      </c>
      <c r="R351" s="73">
        <v>72.0</v>
      </c>
      <c r="S351" s="73">
        <v>41.0</v>
      </c>
      <c r="T351" s="61" t="s">
        <v>42</v>
      </c>
      <c r="U351" s="40" t="s">
        <v>62</v>
      </c>
      <c r="V351" s="40" t="s">
        <v>63</v>
      </c>
      <c r="Z351" s="45"/>
    </row>
    <row r="352">
      <c r="A352" s="81" t="s">
        <v>1466</v>
      </c>
      <c r="B352" s="111" t="s">
        <v>423</v>
      </c>
      <c r="C352" s="112">
        <v>8046.79</v>
      </c>
      <c r="D352" s="113" t="str">
        <f>HYPERLINK("https://osu.ppy.sh/u/2892405","Kanjer")</f>
        <v>Kanjer</v>
      </c>
      <c r="E352" s="41" t="s">
        <v>28</v>
      </c>
      <c r="G352" s="53"/>
      <c r="I352" s="53"/>
      <c r="J352" s="54"/>
    </row>
    <row r="353">
      <c r="A353" s="81" t="s">
        <v>302</v>
      </c>
      <c r="B353" s="1" t="s">
        <v>1467</v>
      </c>
      <c r="C353" s="33">
        <v>8028.99</v>
      </c>
      <c r="D353" s="34" t="str">
        <f>HYPERLINK("https://osu.ppy.sh/u/9436126","Cocoamallows")</f>
        <v>Cocoamallows</v>
      </c>
      <c r="E353" s="41"/>
      <c r="F353" s="53"/>
      <c r="G353" s="53"/>
      <c r="H353" s="53"/>
      <c r="I353" s="53"/>
      <c r="J353" s="54"/>
      <c r="K353" s="53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Z353" s="45"/>
      <c r="AA353" s="57"/>
    </row>
    <row r="354">
      <c r="A354" s="81" t="s">
        <v>309</v>
      </c>
      <c r="B354" s="1" t="s">
        <v>1468</v>
      </c>
      <c r="C354" s="33">
        <v>8025.18</v>
      </c>
      <c r="D354" s="34" t="str">
        <f>HYPERLINK("https://osu.ppy.sh/u/12387359","Legitted")</f>
        <v>Legitted</v>
      </c>
      <c r="E354" s="61" t="s">
        <v>28</v>
      </c>
      <c r="F354" s="58" t="s">
        <v>105</v>
      </c>
      <c r="G354" s="37" t="s">
        <v>29</v>
      </c>
      <c r="H354" s="66" t="s">
        <v>67</v>
      </c>
      <c r="I354" s="66" t="s">
        <v>31</v>
      </c>
      <c r="J354" s="38" t="s">
        <v>32</v>
      </c>
      <c r="K354" s="53"/>
      <c r="L354" s="40" t="s">
        <v>222</v>
      </c>
      <c r="M354" s="55" t="s">
        <v>1469</v>
      </c>
      <c r="N354" s="56"/>
      <c r="O354" s="56"/>
      <c r="P354" s="56"/>
      <c r="Q354" s="56"/>
      <c r="R354" s="56"/>
      <c r="S354" s="56"/>
      <c r="T354" s="56"/>
      <c r="U354" s="55" t="s">
        <v>1470</v>
      </c>
      <c r="V354" s="55" t="s">
        <v>44</v>
      </c>
      <c r="Z354" s="45">
        <v>44136.0</v>
      </c>
      <c r="AA354" s="57"/>
    </row>
    <row r="355">
      <c r="A355" s="81" t="s">
        <v>1471</v>
      </c>
      <c r="B355" s="41" t="s">
        <v>1472</v>
      </c>
      <c r="C355" s="46">
        <v>8021.15</v>
      </c>
      <c r="D355" s="62" t="str">
        <f>HYPERLINK("https://osu.ppy.sh/u/3800805","Captain Teemo")</f>
        <v>Captain Teemo</v>
      </c>
      <c r="E355" s="35" t="s">
        <v>28</v>
      </c>
      <c r="F355" s="63">
        <v>1200.0</v>
      </c>
      <c r="G355" s="64" t="s">
        <v>29</v>
      </c>
      <c r="H355" s="64" t="s">
        <v>67</v>
      </c>
      <c r="I355" s="64" t="s">
        <v>267</v>
      </c>
      <c r="J355" s="67" t="s">
        <v>192</v>
      </c>
      <c r="K355" s="71">
        <v>1000.0</v>
      </c>
      <c r="L355" s="57"/>
      <c r="M355" s="75" t="s">
        <v>1473</v>
      </c>
      <c r="N355" s="57"/>
      <c r="O355" s="75" t="s">
        <v>910</v>
      </c>
      <c r="P355" s="79"/>
      <c r="Q355" s="80"/>
      <c r="R355" s="80"/>
      <c r="S355" s="80"/>
      <c r="T355" s="57"/>
      <c r="U355" s="75" t="s">
        <v>1474</v>
      </c>
      <c r="V355" s="57"/>
    </row>
    <row r="356">
      <c r="A356" s="81" t="s">
        <v>1475</v>
      </c>
      <c r="B356" s="1" t="s">
        <v>1476</v>
      </c>
      <c r="C356" s="33">
        <v>8021.04</v>
      </c>
      <c r="D356" s="34" t="str">
        <f>HYPERLINK("https://osu.ppy.sh/u/5570153","Unknown OwO")</f>
        <v>Unknown OwO</v>
      </c>
      <c r="E356" s="40" t="s">
        <v>28</v>
      </c>
      <c r="F356" s="58" t="s">
        <v>1477</v>
      </c>
      <c r="G356" s="48" t="s">
        <v>29</v>
      </c>
      <c r="H356" s="48" t="s">
        <v>67</v>
      </c>
      <c r="I356" s="48" t="s">
        <v>31</v>
      </c>
      <c r="J356" s="59" t="s">
        <v>32</v>
      </c>
      <c r="K356" s="74" t="s">
        <v>33</v>
      </c>
      <c r="L356" s="1" t="s">
        <v>107</v>
      </c>
      <c r="M356" s="1" t="s">
        <v>1478</v>
      </c>
      <c r="N356" s="1" t="s">
        <v>61</v>
      </c>
      <c r="O356" s="1" t="s">
        <v>1479</v>
      </c>
      <c r="P356" s="72" t="s">
        <v>744</v>
      </c>
      <c r="Q356" s="73" t="s">
        <v>457</v>
      </c>
      <c r="R356" s="73" t="s">
        <v>458</v>
      </c>
      <c r="S356" s="73" t="s">
        <v>251</v>
      </c>
      <c r="T356" s="44" t="s">
        <v>42</v>
      </c>
      <c r="U356" s="1" t="s">
        <v>1480</v>
      </c>
      <c r="V356" s="1" t="s">
        <v>74</v>
      </c>
      <c r="Z356" s="45">
        <v>43739.0</v>
      </c>
    </row>
    <row r="357">
      <c r="A357" s="81" t="s">
        <v>1481</v>
      </c>
      <c r="B357" s="1" t="s">
        <v>1482</v>
      </c>
      <c r="C357" s="33">
        <v>8012.51</v>
      </c>
      <c r="D357" s="34" t="str">
        <f>HYPERLINK("https://osu.ppy.sh/u/1303685","[Lucky]")</f>
        <v>[Lucky]</v>
      </c>
      <c r="E357" s="41" t="s">
        <v>28</v>
      </c>
      <c r="F357" s="58">
        <v>2000.0</v>
      </c>
      <c r="G357" s="48" t="s">
        <v>29</v>
      </c>
      <c r="H357" s="48" t="s">
        <v>67</v>
      </c>
      <c r="I357" s="48" t="s">
        <v>31</v>
      </c>
      <c r="J357" s="59" t="s">
        <v>32</v>
      </c>
      <c r="K357" s="60"/>
      <c r="L357" s="1" t="s">
        <v>528</v>
      </c>
      <c r="M357" s="1" t="s">
        <v>1483</v>
      </c>
      <c r="N357" s="1" t="s">
        <v>160</v>
      </c>
      <c r="P357" s="91"/>
      <c r="Q357" s="92"/>
      <c r="R357" s="92"/>
      <c r="S357" s="92"/>
      <c r="Z357" s="45">
        <v>43678.0</v>
      </c>
    </row>
    <row r="358">
      <c r="A358" s="81" t="s">
        <v>1484</v>
      </c>
      <c r="B358" s="41" t="s">
        <v>1485</v>
      </c>
      <c r="C358" s="46">
        <v>8001.08</v>
      </c>
      <c r="D358" s="47" t="str">
        <f>HYPERLINK("https://osu.ppy.sh/u/2923459","Josde")</f>
        <v>Josde</v>
      </c>
      <c r="E358" s="52" t="s">
        <v>28</v>
      </c>
      <c r="F358" s="36">
        <v>800.0</v>
      </c>
      <c r="G358" s="37" t="s">
        <v>29</v>
      </c>
      <c r="H358" s="37" t="s">
        <v>921</v>
      </c>
      <c r="I358" s="37" t="s">
        <v>229</v>
      </c>
      <c r="J358" s="38" t="s">
        <v>32</v>
      </c>
      <c r="K358" s="39" t="s">
        <v>33</v>
      </c>
      <c r="L358" s="40" t="s">
        <v>386</v>
      </c>
      <c r="M358" s="40" t="s">
        <v>108</v>
      </c>
      <c r="N358" s="40" t="s">
        <v>174</v>
      </c>
      <c r="O358" s="1" t="s">
        <v>109</v>
      </c>
      <c r="P358" s="85" t="s">
        <v>110</v>
      </c>
      <c r="Q358" s="86" t="s">
        <v>39</v>
      </c>
      <c r="R358" s="87" t="s">
        <v>72</v>
      </c>
      <c r="S358" s="87" t="s">
        <v>41</v>
      </c>
      <c r="T358" s="48" t="s">
        <v>42</v>
      </c>
      <c r="U358" s="75" t="s">
        <v>62</v>
      </c>
      <c r="V358" s="1" t="s">
        <v>63</v>
      </c>
      <c r="Z358" s="45">
        <v>43922.0</v>
      </c>
    </row>
    <row r="359">
      <c r="A359" s="81" t="s">
        <v>317</v>
      </c>
      <c r="B359" s="1" t="s">
        <v>1486</v>
      </c>
      <c r="C359" s="33">
        <v>7992.74</v>
      </c>
      <c r="D359" s="34" t="str">
        <f>HYPERLINK("https://osu.ppy.sh/u/12069972","zntx")</f>
        <v>zntx</v>
      </c>
      <c r="E359" s="40" t="s">
        <v>28</v>
      </c>
      <c r="F359" s="48" t="s">
        <v>105</v>
      </c>
      <c r="G359" s="48" t="s">
        <v>29</v>
      </c>
      <c r="H359" s="48" t="s">
        <v>67</v>
      </c>
      <c r="I359" s="37" t="s">
        <v>31</v>
      </c>
      <c r="J359" s="59" t="s">
        <v>32</v>
      </c>
      <c r="K359" s="39">
        <v>1000.0</v>
      </c>
      <c r="L359" s="52" t="s">
        <v>222</v>
      </c>
      <c r="M359" s="40" t="s">
        <v>454</v>
      </c>
      <c r="N359" s="55" t="s">
        <v>1487</v>
      </c>
      <c r="O359" s="40" t="s">
        <v>455</v>
      </c>
      <c r="P359" s="42" t="s">
        <v>456</v>
      </c>
      <c r="Q359" s="43" t="s">
        <v>457</v>
      </c>
      <c r="R359" s="43" t="s">
        <v>458</v>
      </c>
      <c r="S359" s="43" t="s">
        <v>251</v>
      </c>
      <c r="T359" s="35" t="s">
        <v>42</v>
      </c>
      <c r="U359" s="55" t="s">
        <v>1488</v>
      </c>
      <c r="V359" s="55" t="s">
        <v>1489</v>
      </c>
      <c r="Z359" s="45">
        <v>44013.0</v>
      </c>
      <c r="AA359" s="57"/>
    </row>
    <row r="360">
      <c r="A360" s="81" t="s">
        <v>319</v>
      </c>
      <c r="B360" s="1" t="s">
        <v>1490</v>
      </c>
      <c r="C360" s="33">
        <v>7980.24</v>
      </c>
      <c r="D360" s="34" t="str">
        <f>HYPERLINK("https://osu.ppy.sh/u/3408715","gman")</f>
        <v>gman</v>
      </c>
      <c r="E360" s="41" t="s">
        <v>28</v>
      </c>
      <c r="F360" s="58" t="s">
        <v>303</v>
      </c>
      <c r="G360" s="48" t="s">
        <v>29</v>
      </c>
      <c r="H360" s="48" t="s">
        <v>67</v>
      </c>
      <c r="I360" s="65" t="s">
        <v>31</v>
      </c>
      <c r="J360" s="59" t="s">
        <v>32</v>
      </c>
      <c r="K360" s="74" t="s">
        <v>81</v>
      </c>
      <c r="M360" s="1" t="s">
        <v>108</v>
      </c>
      <c r="O360" s="1" t="s">
        <v>109</v>
      </c>
      <c r="P360" s="85" t="s">
        <v>110</v>
      </c>
      <c r="Q360" s="86" t="s">
        <v>39</v>
      </c>
      <c r="R360" s="87" t="s">
        <v>72</v>
      </c>
      <c r="S360" s="87" t="s">
        <v>41</v>
      </c>
      <c r="T360" s="48" t="s">
        <v>42</v>
      </c>
      <c r="V360" s="1" t="s">
        <v>63</v>
      </c>
      <c r="Z360" s="45"/>
    </row>
    <row r="361">
      <c r="A361" s="81" t="s">
        <v>1491</v>
      </c>
      <c r="B361" s="41" t="s">
        <v>1492</v>
      </c>
      <c r="C361" s="46">
        <v>7975.16</v>
      </c>
      <c r="D361" s="62" t="str">
        <f>HYPERLINK("https://osu.ppy.sh/u/1776275","Andrew")</f>
        <v>Andrew</v>
      </c>
      <c r="E361" s="61" t="s">
        <v>28</v>
      </c>
      <c r="F361" s="63">
        <v>810.0</v>
      </c>
      <c r="G361" s="66" t="s">
        <v>29</v>
      </c>
      <c r="H361" s="66" t="s">
        <v>67</v>
      </c>
      <c r="I361" s="66" t="s">
        <v>293</v>
      </c>
      <c r="J361" s="70" t="s">
        <v>1493</v>
      </c>
      <c r="K361" s="82"/>
      <c r="L361" s="61" t="s">
        <v>536</v>
      </c>
      <c r="M361" s="35" t="s">
        <v>1494</v>
      </c>
      <c r="N361" s="41" t="s">
        <v>530</v>
      </c>
      <c r="O361" s="35" t="s">
        <v>1495</v>
      </c>
      <c r="P361" s="72">
        <v>90.0</v>
      </c>
      <c r="Q361" s="73">
        <v>126.0</v>
      </c>
      <c r="R361" s="73">
        <v>68.0</v>
      </c>
      <c r="S361" s="73">
        <v>39.0</v>
      </c>
      <c r="T361" s="61" t="s">
        <v>42</v>
      </c>
      <c r="U361" s="35" t="s">
        <v>1496</v>
      </c>
      <c r="V361" s="35" t="s">
        <v>89</v>
      </c>
    </row>
    <row r="362">
      <c r="A362" s="81" t="s">
        <v>1497</v>
      </c>
      <c r="B362" s="1" t="s">
        <v>1498</v>
      </c>
      <c r="C362" s="33">
        <v>7965.86</v>
      </c>
      <c r="D362" s="34" t="str">
        <f>HYPERLINK("https://osu.ppy.sh/u/11108658","Nacrus")</f>
        <v>Nacrus</v>
      </c>
      <c r="E362" s="61"/>
      <c r="F362" s="58"/>
      <c r="G362" s="48"/>
      <c r="H362" s="48"/>
      <c r="I362" s="48"/>
      <c r="J362" s="59"/>
      <c r="K362" s="60"/>
      <c r="L362" s="1"/>
      <c r="M362" s="1"/>
      <c r="N362" s="1"/>
      <c r="O362" s="57"/>
      <c r="P362" s="79"/>
      <c r="Q362" s="80"/>
      <c r="R362" s="80"/>
      <c r="S362" s="80"/>
      <c r="T362" s="57"/>
      <c r="U362" s="1"/>
      <c r="V362" s="1"/>
      <c r="Z362" s="45"/>
    </row>
    <row r="363">
      <c r="A363" s="81" t="s">
        <v>1499</v>
      </c>
      <c r="B363" s="102" t="s">
        <v>423</v>
      </c>
      <c r="C363" s="103">
        <v>7945.05</v>
      </c>
      <c r="D363" s="150" t="str">
        <f>HYPERLINK("https://osu.ppy.sh/u/2846454","erictran0")</f>
        <v>erictran0</v>
      </c>
      <c r="E363" s="40" t="s">
        <v>28</v>
      </c>
      <c r="F363" s="36"/>
      <c r="G363" s="37"/>
      <c r="H363" s="37"/>
      <c r="I363" s="37"/>
      <c r="J363" s="38"/>
      <c r="K363" s="39"/>
      <c r="L363" s="40"/>
      <c r="M363" s="41"/>
      <c r="N363" s="40"/>
      <c r="O363" s="40"/>
      <c r="P363" s="42"/>
      <c r="Q363" s="43"/>
      <c r="R363" s="43"/>
      <c r="S363" s="43"/>
      <c r="T363" s="40"/>
      <c r="U363" s="40"/>
      <c r="V363" s="40"/>
      <c r="Z363" s="45"/>
    </row>
    <row r="364">
      <c r="A364" s="81" t="s">
        <v>1500</v>
      </c>
      <c r="B364" s="1" t="s">
        <v>1501</v>
      </c>
      <c r="C364" s="33">
        <v>7943.34</v>
      </c>
      <c r="D364" s="34" t="str">
        <f>HYPERLINK("https://osu.ppy.sh/u/9552884","Oddster")</f>
        <v>Oddster</v>
      </c>
      <c r="E364" s="40" t="s">
        <v>28</v>
      </c>
      <c r="F364" s="48" t="s">
        <v>335</v>
      </c>
      <c r="G364" s="37" t="s">
        <v>29</v>
      </c>
      <c r="H364" s="48" t="s">
        <v>67</v>
      </c>
      <c r="I364" s="48" t="s">
        <v>31</v>
      </c>
      <c r="J364" s="59" t="s">
        <v>32</v>
      </c>
      <c r="K364" s="53"/>
      <c r="L364" s="1" t="s">
        <v>510</v>
      </c>
      <c r="M364" s="40" t="s">
        <v>139</v>
      </c>
      <c r="N364" s="56"/>
      <c r="O364" s="35"/>
      <c r="P364" s="72"/>
      <c r="Q364" s="73"/>
      <c r="R364" s="73"/>
      <c r="S364" s="73"/>
      <c r="T364" s="61"/>
      <c r="U364" s="55" t="s">
        <v>605</v>
      </c>
      <c r="V364" s="55" t="s">
        <v>203</v>
      </c>
      <c r="Z364" s="45">
        <v>44197.0</v>
      </c>
      <c r="AA364" s="57"/>
    </row>
    <row r="365">
      <c r="A365" s="139" t="s">
        <v>326</v>
      </c>
      <c r="B365" s="41" t="s">
        <v>1502</v>
      </c>
      <c r="C365" s="46">
        <v>7940.35</v>
      </c>
      <c r="D365" s="47" t="str">
        <f>HYPERLINK("https://osu.ppy.sh/u/7693263","berry go go go")</f>
        <v>berry go go go</v>
      </c>
      <c r="E365" s="52" t="s">
        <v>28</v>
      </c>
      <c r="F365" s="36" t="s">
        <v>105</v>
      </c>
      <c r="G365" s="37" t="s">
        <v>236</v>
      </c>
      <c r="H365" s="37" t="s">
        <v>1503</v>
      </c>
      <c r="I365" s="37" t="s">
        <v>31</v>
      </c>
      <c r="J365" s="38" t="s">
        <v>32</v>
      </c>
      <c r="K365" s="82"/>
      <c r="L365" s="40" t="s">
        <v>99</v>
      </c>
      <c r="M365" s="40" t="s">
        <v>214</v>
      </c>
      <c r="N365" s="1" t="s">
        <v>1504</v>
      </c>
      <c r="O365" s="40" t="s">
        <v>215</v>
      </c>
      <c r="P365" s="42" t="s">
        <v>216</v>
      </c>
      <c r="Q365" s="43" t="s">
        <v>175</v>
      </c>
      <c r="R365" s="43" t="s">
        <v>72</v>
      </c>
      <c r="S365" s="43" t="s">
        <v>217</v>
      </c>
      <c r="T365" s="44" t="s">
        <v>218</v>
      </c>
      <c r="U365" s="40" t="s">
        <v>1191</v>
      </c>
      <c r="V365" s="40" t="s">
        <v>74</v>
      </c>
      <c r="Z365" s="45">
        <v>43435.0</v>
      </c>
      <c r="AB365" s="57"/>
      <c r="AC365" s="57"/>
      <c r="AD365" s="57"/>
      <c r="AE365" s="57"/>
      <c r="AF365" s="57"/>
      <c r="AG365" s="57"/>
      <c r="AH365" s="57"/>
    </row>
    <row r="366">
      <c r="A366" s="139" t="s">
        <v>1505</v>
      </c>
      <c r="B366" s="41" t="s">
        <v>1506</v>
      </c>
      <c r="C366" s="46">
        <v>7928.54</v>
      </c>
      <c r="D366" s="47" t="str">
        <f>HYPERLINK("https://osu.ppy.sh/u/7944724","2127")</f>
        <v>2127</v>
      </c>
      <c r="E366" s="52" t="s">
        <v>28</v>
      </c>
      <c r="F366" s="100"/>
      <c r="G366" s="101"/>
      <c r="H366" s="101"/>
      <c r="I366" s="101"/>
      <c r="J366" s="49"/>
      <c r="K366" s="82"/>
      <c r="L366" s="69"/>
      <c r="M366" s="69"/>
      <c r="N366" s="69"/>
      <c r="O366" s="69"/>
      <c r="P366" s="79"/>
      <c r="Q366" s="80"/>
      <c r="R366" s="80"/>
      <c r="S366" s="80"/>
      <c r="T366" s="69"/>
      <c r="U366" s="69"/>
      <c r="V366" s="69"/>
      <c r="AB366" s="57"/>
      <c r="AC366" s="57"/>
      <c r="AD366" s="57"/>
      <c r="AE366" s="57"/>
      <c r="AF366" s="57"/>
      <c r="AG366" s="57"/>
      <c r="AH366" s="57"/>
    </row>
    <row r="367">
      <c r="A367" s="139" t="s">
        <v>1507</v>
      </c>
      <c r="B367" s="41" t="s">
        <v>1508</v>
      </c>
      <c r="C367" s="46">
        <v>7927.45</v>
      </c>
      <c r="D367" s="83" t="str">
        <f>HYPERLINK("https://osu.ppy.sh/u/6156216","Endie-")</f>
        <v>Endie-</v>
      </c>
      <c r="E367" s="41" t="s">
        <v>28</v>
      </c>
      <c r="F367" s="63">
        <v>800.0</v>
      </c>
      <c r="G367" s="65" t="s">
        <v>29</v>
      </c>
      <c r="H367" s="65" t="s">
        <v>67</v>
      </c>
      <c r="I367" s="65" t="s">
        <v>31</v>
      </c>
      <c r="J367" s="89" t="s">
        <v>32</v>
      </c>
      <c r="K367" s="82"/>
      <c r="L367" s="61" t="s">
        <v>222</v>
      </c>
      <c r="M367" s="41" t="s">
        <v>396</v>
      </c>
      <c r="N367" s="41" t="s">
        <v>1509</v>
      </c>
      <c r="O367" s="35" t="s">
        <v>52</v>
      </c>
      <c r="P367" s="72">
        <v>85.0</v>
      </c>
      <c r="Q367" s="73">
        <v>124.0</v>
      </c>
      <c r="R367" s="73">
        <v>58.0</v>
      </c>
      <c r="S367" s="73">
        <v>36.0</v>
      </c>
      <c r="T367" s="44" t="s">
        <v>42</v>
      </c>
      <c r="U367" s="35" t="s">
        <v>1474</v>
      </c>
      <c r="V367" s="41" t="s">
        <v>74</v>
      </c>
      <c r="Z367" s="45">
        <v>42795.0</v>
      </c>
      <c r="AB367" s="57"/>
      <c r="AC367" s="57"/>
      <c r="AD367" s="57"/>
      <c r="AE367" s="57"/>
      <c r="AF367" s="57"/>
      <c r="AG367" s="57"/>
      <c r="AH367" s="57"/>
    </row>
    <row r="368">
      <c r="A368" s="139" t="s">
        <v>331</v>
      </c>
      <c r="B368" s="1" t="s">
        <v>1510</v>
      </c>
      <c r="C368" s="33">
        <v>7918.94</v>
      </c>
      <c r="D368" s="34" t="str">
        <f>HYPERLINK("https://osu.ppy.sh/u/7229853","Great_Nyker")</f>
        <v>Great_Nyker</v>
      </c>
      <c r="E368" s="41" t="s">
        <v>28</v>
      </c>
      <c r="F368" s="48" t="s">
        <v>876</v>
      </c>
      <c r="G368" s="48" t="s">
        <v>29</v>
      </c>
      <c r="H368" s="48" t="s">
        <v>67</v>
      </c>
      <c r="I368" s="48" t="s">
        <v>579</v>
      </c>
      <c r="J368" s="59" t="s">
        <v>32</v>
      </c>
      <c r="K368" s="48" t="s">
        <v>1511</v>
      </c>
      <c r="M368" s="1" t="s">
        <v>902</v>
      </c>
      <c r="U368" s="1" t="s">
        <v>1512</v>
      </c>
      <c r="V368" s="1" t="s">
        <v>1513</v>
      </c>
      <c r="AB368" s="57"/>
      <c r="AC368" s="57"/>
      <c r="AD368" s="57"/>
      <c r="AE368" s="57"/>
      <c r="AF368" s="57"/>
      <c r="AG368" s="57"/>
      <c r="AH368" s="57"/>
    </row>
    <row r="369">
      <c r="A369" s="139" t="s">
        <v>334</v>
      </c>
      <c r="B369" s="41" t="s">
        <v>1514</v>
      </c>
      <c r="C369" s="46">
        <v>7906.86</v>
      </c>
      <c r="D369" s="47" t="str">
        <f>HYPERLINK("https://osu.ppy.sh/u/4922584","Kites")</f>
        <v>Kites</v>
      </c>
      <c r="E369" s="52" t="s">
        <v>28</v>
      </c>
      <c r="F369" s="63">
        <v>1000.0</v>
      </c>
      <c r="G369" s="48" t="s">
        <v>29</v>
      </c>
      <c r="H369" s="65" t="s">
        <v>1515</v>
      </c>
      <c r="I369" s="37" t="s">
        <v>31</v>
      </c>
      <c r="J369" s="38" t="s">
        <v>32</v>
      </c>
      <c r="K369" s="71"/>
      <c r="L369" s="52" t="s">
        <v>230</v>
      </c>
      <c r="M369" s="41" t="s">
        <v>1516</v>
      </c>
      <c r="N369" s="41" t="s">
        <v>148</v>
      </c>
      <c r="O369" s="1"/>
      <c r="P369" s="85" t="s">
        <v>166</v>
      </c>
      <c r="Q369" s="86" t="s">
        <v>1517</v>
      </c>
      <c r="R369" s="87" t="s">
        <v>322</v>
      </c>
      <c r="S369" s="87" t="s">
        <v>87</v>
      </c>
      <c r="T369" s="48"/>
      <c r="U369" s="41" t="s">
        <v>1518</v>
      </c>
      <c r="V369" s="41" t="s">
        <v>63</v>
      </c>
      <c r="Z369" s="45">
        <v>44166.0</v>
      </c>
      <c r="AB369" s="57"/>
      <c r="AC369" s="57"/>
      <c r="AD369" s="57"/>
      <c r="AE369" s="57"/>
      <c r="AF369" s="57"/>
      <c r="AG369" s="57"/>
      <c r="AH369" s="57"/>
    </row>
    <row r="370">
      <c r="A370" s="139" t="s">
        <v>1519</v>
      </c>
      <c r="B370" s="102" t="s">
        <v>423</v>
      </c>
      <c r="C370" s="103">
        <v>7896.99</v>
      </c>
      <c r="D370" s="137" t="str">
        <f>HYPERLINK("https://osu.ppy.sh/u/7811093","w9ne")</f>
        <v>w9ne</v>
      </c>
      <c r="E370" s="52" t="s">
        <v>28</v>
      </c>
      <c r="F370" s="36" t="s">
        <v>1520</v>
      </c>
      <c r="G370" s="37" t="s">
        <v>29</v>
      </c>
      <c r="H370" s="37" t="s">
        <v>578</v>
      </c>
      <c r="I370" s="37" t="s">
        <v>31</v>
      </c>
      <c r="J370" s="38" t="s">
        <v>32</v>
      </c>
      <c r="K370" s="39" t="s">
        <v>33</v>
      </c>
      <c r="L370" s="40" t="s">
        <v>99</v>
      </c>
      <c r="M370" s="40" t="s">
        <v>199</v>
      </c>
      <c r="N370" s="40" t="s">
        <v>1487</v>
      </c>
      <c r="O370" s="35" t="s">
        <v>201</v>
      </c>
      <c r="P370" s="72">
        <v>103.0</v>
      </c>
      <c r="Q370" s="73">
        <v>136.0</v>
      </c>
      <c r="R370" s="73">
        <v>72.0</v>
      </c>
      <c r="S370" s="73">
        <v>41.0</v>
      </c>
      <c r="T370" s="61" t="s">
        <v>42</v>
      </c>
      <c r="U370" s="40" t="s">
        <v>1176</v>
      </c>
      <c r="V370" s="40" t="s">
        <v>491</v>
      </c>
      <c r="Z370" s="45">
        <v>43282.0</v>
      </c>
      <c r="AB370" s="57"/>
      <c r="AC370" s="57"/>
      <c r="AD370" s="57"/>
      <c r="AE370" s="57"/>
      <c r="AF370" s="57"/>
      <c r="AG370" s="57"/>
      <c r="AH370" s="57"/>
    </row>
    <row r="371">
      <c r="A371" s="139" t="s">
        <v>339</v>
      </c>
      <c r="B371" s="41" t="s">
        <v>1521</v>
      </c>
      <c r="C371" s="46">
        <v>7892.88</v>
      </c>
      <c r="D371" s="47" t="str">
        <f>HYPERLINK("https://osu.ppy.sh/u/10781411","MyAngelPundice")</f>
        <v>MyAngelPundice</v>
      </c>
      <c r="E371" s="52" t="s">
        <v>28</v>
      </c>
      <c r="F371" s="100"/>
      <c r="G371" s="101"/>
      <c r="H371" s="101"/>
      <c r="I371" s="101"/>
      <c r="J371" s="49"/>
      <c r="K371" s="82"/>
      <c r="L371" s="69"/>
      <c r="M371" s="69"/>
      <c r="N371" s="69"/>
      <c r="O371" s="69"/>
      <c r="P371" s="79"/>
      <c r="Q371" s="80"/>
      <c r="R371" s="80"/>
      <c r="S371" s="80"/>
      <c r="T371" s="69"/>
      <c r="U371" s="69"/>
      <c r="V371" s="69"/>
      <c r="AB371" s="57"/>
      <c r="AC371" s="57"/>
      <c r="AD371" s="57"/>
      <c r="AE371" s="57"/>
      <c r="AF371" s="57"/>
      <c r="AG371" s="57"/>
      <c r="AH371" s="57"/>
    </row>
    <row r="372">
      <c r="A372" s="139" t="s">
        <v>349</v>
      </c>
      <c r="B372" s="41" t="s">
        <v>1522</v>
      </c>
      <c r="C372" s="46">
        <v>7879.26</v>
      </c>
      <c r="D372" s="47" t="str">
        <f>HYPERLINK("https://osu.ppy.sh/u/2140711","Tenshie")</f>
        <v>Tenshie</v>
      </c>
      <c r="E372" s="52" t="s">
        <v>28</v>
      </c>
      <c r="F372" s="48" t="s">
        <v>105</v>
      </c>
      <c r="G372" s="48" t="s">
        <v>78</v>
      </c>
      <c r="H372" s="48" t="s">
        <v>67</v>
      </c>
      <c r="I372" s="48" t="s">
        <v>311</v>
      </c>
      <c r="J372" s="59" t="s">
        <v>192</v>
      </c>
      <c r="K372" s="53"/>
      <c r="L372" s="55" t="s">
        <v>312</v>
      </c>
      <c r="M372" s="1" t="s">
        <v>1523</v>
      </c>
      <c r="N372" s="40" t="s">
        <v>116</v>
      </c>
      <c r="U372" s="1" t="s">
        <v>1524</v>
      </c>
      <c r="V372" s="1" t="s">
        <v>74</v>
      </c>
      <c r="Z372" s="45">
        <v>43770.0</v>
      </c>
      <c r="AB372" s="57"/>
      <c r="AC372" s="57"/>
      <c r="AD372" s="57"/>
      <c r="AE372" s="57"/>
      <c r="AF372" s="57"/>
      <c r="AG372" s="57"/>
      <c r="AH372" s="57"/>
    </row>
    <row r="373">
      <c r="A373" s="139" t="s">
        <v>1525</v>
      </c>
      <c r="B373" s="122" t="s">
        <v>1526</v>
      </c>
      <c r="C373" s="123">
        <v>7876.97</v>
      </c>
      <c r="D373" s="124" t="str">
        <f>HYPERLINK("https://osu.ppy.sh/u/7112454","EAT MY COMB OUT")</f>
        <v>EAT MY COMB OUT</v>
      </c>
      <c r="E373" s="41" t="s">
        <v>28</v>
      </c>
      <c r="G373" s="53"/>
      <c r="I373" s="53"/>
      <c r="J373" s="54"/>
      <c r="AB373" s="57"/>
      <c r="AC373" s="57"/>
      <c r="AD373" s="57"/>
      <c r="AE373" s="57"/>
      <c r="AF373" s="57"/>
      <c r="AG373" s="57"/>
      <c r="AH373" s="57"/>
    </row>
    <row r="374">
      <c r="A374" s="139" t="s">
        <v>1527</v>
      </c>
      <c r="B374" s="41" t="s">
        <v>1528</v>
      </c>
      <c r="C374" s="46">
        <v>7873.57</v>
      </c>
      <c r="D374" s="47" t="str">
        <f>HYPERLINK("https://osu.ppy.sh/u/4324054","vdfob")</f>
        <v>vdfob</v>
      </c>
      <c r="E374" s="52" t="s">
        <v>571</v>
      </c>
      <c r="F374" s="36" t="s">
        <v>1529</v>
      </c>
      <c r="G374" s="101"/>
      <c r="H374" s="101"/>
      <c r="I374" s="37" t="s">
        <v>31</v>
      </c>
      <c r="J374" s="49"/>
      <c r="K374" s="39" t="s">
        <v>33</v>
      </c>
      <c r="L374" s="69"/>
      <c r="M374" s="40" t="s">
        <v>971</v>
      </c>
      <c r="N374" s="69"/>
      <c r="O374" s="41" t="s">
        <v>365</v>
      </c>
      <c r="P374" s="85" t="s">
        <v>366</v>
      </c>
      <c r="Q374" s="87" t="s">
        <v>367</v>
      </c>
      <c r="R374" s="87" t="s">
        <v>347</v>
      </c>
      <c r="S374" s="87" t="s">
        <v>368</v>
      </c>
      <c r="T374" s="61" t="s">
        <v>42</v>
      </c>
      <c r="U374" s="69"/>
      <c r="V374" s="69"/>
      <c r="Z374" s="45">
        <v>43466.0</v>
      </c>
      <c r="AA374" s="57"/>
      <c r="AB374" s="57"/>
      <c r="AC374" s="57"/>
      <c r="AD374" s="57"/>
      <c r="AE374" s="57"/>
      <c r="AF374" s="57"/>
      <c r="AG374" s="57"/>
      <c r="AH374" s="57"/>
    </row>
    <row r="375">
      <c r="A375" s="139" t="s">
        <v>1530</v>
      </c>
      <c r="B375" s="1" t="s">
        <v>1531</v>
      </c>
      <c r="C375" s="33">
        <v>7873.07</v>
      </c>
      <c r="D375" s="34" t="str">
        <f>HYPERLINK("https://osu.ppy.sh/u/8913773","ratokkoy")</f>
        <v>ratokkoy</v>
      </c>
      <c r="E375" s="61" t="s">
        <v>28</v>
      </c>
      <c r="F375" s="58" t="s">
        <v>813</v>
      </c>
      <c r="G375" s="48" t="s">
        <v>29</v>
      </c>
      <c r="H375" s="48" t="s">
        <v>67</v>
      </c>
      <c r="I375" s="48" t="s">
        <v>31</v>
      </c>
      <c r="J375" s="59" t="s">
        <v>32</v>
      </c>
      <c r="K375" s="74" t="s">
        <v>33</v>
      </c>
      <c r="L375" s="1" t="s">
        <v>341</v>
      </c>
      <c r="M375" s="1" t="s">
        <v>69</v>
      </c>
      <c r="N375" s="1" t="s">
        <v>780</v>
      </c>
      <c r="O375" s="40" t="s">
        <v>70</v>
      </c>
      <c r="P375" s="42" t="s">
        <v>71</v>
      </c>
      <c r="Q375" s="43" t="s">
        <v>39</v>
      </c>
      <c r="R375" s="43" t="s">
        <v>72</v>
      </c>
      <c r="S375" s="43" t="s">
        <v>41</v>
      </c>
      <c r="T375" s="61" t="s">
        <v>42</v>
      </c>
      <c r="U375" s="1" t="s">
        <v>683</v>
      </c>
      <c r="V375" s="1" t="s">
        <v>89</v>
      </c>
      <c r="Z375" s="45">
        <v>43282.0</v>
      </c>
      <c r="AB375" s="57"/>
      <c r="AC375" s="57"/>
      <c r="AD375" s="57"/>
      <c r="AE375" s="57"/>
      <c r="AF375" s="57"/>
      <c r="AG375" s="57"/>
      <c r="AH375" s="57"/>
    </row>
    <row r="376">
      <c r="A376" s="139" t="s">
        <v>1532</v>
      </c>
      <c r="B376" s="1" t="s">
        <v>1533</v>
      </c>
      <c r="C376" s="33">
        <v>7866.33</v>
      </c>
      <c r="D376" s="34" t="str">
        <f>HYPERLINK("https://osu.ppy.sh/u/4464941","Dozom")</f>
        <v>Dozom</v>
      </c>
      <c r="E376" s="61" t="s">
        <v>28</v>
      </c>
      <c r="G376" s="53"/>
      <c r="I376" s="53"/>
      <c r="J376" s="54"/>
      <c r="AB376" s="57"/>
      <c r="AC376" s="57"/>
      <c r="AD376" s="57"/>
      <c r="AE376" s="57"/>
      <c r="AF376" s="57"/>
      <c r="AG376" s="57"/>
      <c r="AH376" s="57"/>
    </row>
    <row r="377">
      <c r="A377" s="139" t="s">
        <v>1534</v>
      </c>
      <c r="B377" s="41" t="s">
        <v>1535</v>
      </c>
      <c r="C377" s="46">
        <v>7859.32</v>
      </c>
      <c r="D377" s="62" t="str">
        <f>HYPERLINK("https://osu.ppy.sh/u/2041322","hlx_groden")</f>
        <v>hlx_groden</v>
      </c>
      <c r="E377" s="35" t="s">
        <v>28</v>
      </c>
      <c r="F377" s="63">
        <v>960.0</v>
      </c>
      <c r="G377" s="66" t="s">
        <v>29</v>
      </c>
      <c r="H377" s="66" t="s">
        <v>67</v>
      </c>
      <c r="I377" s="66" t="s">
        <v>31</v>
      </c>
      <c r="J377" s="70" t="s">
        <v>1493</v>
      </c>
      <c r="K377" s="82"/>
      <c r="L377" s="61" t="s">
        <v>129</v>
      </c>
      <c r="M377" s="75" t="s">
        <v>199</v>
      </c>
      <c r="N377" s="57"/>
      <c r="O377" s="35" t="s">
        <v>201</v>
      </c>
      <c r="P377" s="72">
        <v>103.0</v>
      </c>
      <c r="Q377" s="73">
        <v>136.0</v>
      </c>
      <c r="R377" s="73">
        <v>72.0</v>
      </c>
      <c r="S377" s="73">
        <v>41.0</v>
      </c>
      <c r="T377" s="61" t="s">
        <v>42</v>
      </c>
      <c r="U377" s="35" t="s">
        <v>62</v>
      </c>
      <c r="V377" s="75" t="s">
        <v>63</v>
      </c>
      <c r="Z377" s="45">
        <v>42644.0</v>
      </c>
      <c r="AB377" s="57"/>
      <c r="AC377" s="57"/>
      <c r="AD377" s="57"/>
      <c r="AE377" s="57"/>
      <c r="AF377" s="57"/>
      <c r="AG377" s="57"/>
      <c r="AH377" s="57"/>
    </row>
    <row r="378">
      <c r="A378" s="139" t="s">
        <v>1536</v>
      </c>
      <c r="B378" s="41" t="s">
        <v>1537</v>
      </c>
      <c r="C378" s="46">
        <v>7858.79</v>
      </c>
      <c r="D378" s="62" t="str">
        <f>HYPERLINK("https://osu.ppy.sh/u/587737","Zetera")</f>
        <v>Zetera</v>
      </c>
      <c r="E378" s="40" t="s">
        <v>28</v>
      </c>
      <c r="F378" s="36">
        <v>900.0</v>
      </c>
      <c r="G378" s="37" t="s">
        <v>29</v>
      </c>
      <c r="H378" s="37" t="s">
        <v>172</v>
      </c>
      <c r="I378" s="37" t="s">
        <v>31</v>
      </c>
      <c r="J378" s="38" t="s">
        <v>32</v>
      </c>
      <c r="K378" s="39">
        <v>1000.0</v>
      </c>
      <c r="L378" s="40" t="s">
        <v>1301</v>
      </c>
      <c r="M378" s="40" t="s">
        <v>1538</v>
      </c>
      <c r="N378" s="40" t="s">
        <v>160</v>
      </c>
      <c r="O378" s="35" t="s">
        <v>314</v>
      </c>
      <c r="P378" s="42">
        <v>80.0</v>
      </c>
      <c r="Q378" s="43">
        <v>117.0</v>
      </c>
      <c r="R378" s="43">
        <v>64.0</v>
      </c>
      <c r="S378" s="43">
        <v>38.0</v>
      </c>
      <c r="T378" s="61" t="s">
        <v>42</v>
      </c>
      <c r="U378" s="40" t="s">
        <v>1191</v>
      </c>
      <c r="V378" s="40" t="s">
        <v>89</v>
      </c>
      <c r="Z378" s="45">
        <v>42795.0</v>
      </c>
      <c r="AB378" s="57"/>
      <c r="AC378" s="57"/>
      <c r="AD378" s="57"/>
      <c r="AE378" s="57"/>
      <c r="AF378" s="57"/>
      <c r="AG378" s="57"/>
      <c r="AH378" s="57"/>
    </row>
    <row r="379">
      <c r="A379" s="139" t="s">
        <v>355</v>
      </c>
      <c r="B379" s="1" t="s">
        <v>1539</v>
      </c>
      <c r="C379" s="33">
        <v>7858.75</v>
      </c>
      <c r="D379" s="34" t="str">
        <f>HYPERLINK("https://osu.ppy.sh/u/6347674","-Kirishima")</f>
        <v>-Kirishima</v>
      </c>
      <c r="E379" s="41" t="s">
        <v>28</v>
      </c>
      <c r="F379" s="109"/>
      <c r="G379" s="53"/>
      <c r="H379" s="53"/>
      <c r="I379" s="53"/>
      <c r="J379" s="54"/>
      <c r="K379" s="60"/>
      <c r="P379" s="91"/>
      <c r="Q379" s="92"/>
      <c r="R379" s="92"/>
      <c r="S379" s="92"/>
      <c r="Z379" s="45"/>
      <c r="AB379" s="57"/>
      <c r="AC379" s="57"/>
      <c r="AD379" s="57"/>
      <c r="AE379" s="57"/>
      <c r="AF379" s="57"/>
      <c r="AG379" s="57"/>
      <c r="AH379" s="57"/>
    </row>
    <row r="380">
      <c r="A380" s="139" t="s">
        <v>1540</v>
      </c>
      <c r="B380" s="41" t="s">
        <v>1541</v>
      </c>
      <c r="C380" s="46">
        <v>7852.97</v>
      </c>
      <c r="D380" s="47" t="str">
        <f>HYPERLINK("https://osu.ppy.sh/u/4571817","Mombei")</f>
        <v>Mombei</v>
      </c>
      <c r="E380" s="52" t="s">
        <v>28</v>
      </c>
      <c r="F380" s="100"/>
      <c r="G380" s="101"/>
      <c r="H380" s="101"/>
      <c r="I380" s="101"/>
      <c r="J380" s="49"/>
      <c r="K380" s="82"/>
      <c r="L380" s="69"/>
      <c r="M380" s="69"/>
      <c r="N380" s="69"/>
      <c r="O380" s="69"/>
      <c r="P380" s="79"/>
      <c r="Q380" s="80"/>
      <c r="R380" s="80"/>
      <c r="S380" s="80"/>
      <c r="T380" s="69"/>
      <c r="U380" s="69"/>
      <c r="V380" s="69"/>
      <c r="AB380" s="57"/>
      <c r="AC380" s="57"/>
      <c r="AD380" s="57"/>
      <c r="AE380" s="57"/>
      <c r="AF380" s="57"/>
      <c r="AG380" s="57"/>
      <c r="AH380" s="57"/>
    </row>
    <row r="381">
      <c r="A381" s="139" t="s">
        <v>1542</v>
      </c>
      <c r="B381" s="41" t="s">
        <v>1543</v>
      </c>
      <c r="C381" s="46">
        <v>7849.94</v>
      </c>
      <c r="D381" s="47" t="str">
        <f>HYPERLINK("https://osu.ppy.sh/u/5306757","plz enjoy osu")</f>
        <v>plz enjoy osu</v>
      </c>
      <c r="E381" s="52" t="s">
        <v>28</v>
      </c>
      <c r="F381" s="100"/>
      <c r="G381" s="101"/>
      <c r="H381" s="101"/>
      <c r="I381" s="101"/>
      <c r="J381" s="49"/>
      <c r="K381" s="82"/>
      <c r="L381" s="69"/>
      <c r="M381" s="69"/>
      <c r="N381" s="69"/>
      <c r="O381" s="69"/>
      <c r="P381" s="79"/>
      <c r="Q381" s="80"/>
      <c r="R381" s="80"/>
      <c r="S381" s="80"/>
      <c r="T381" s="69"/>
      <c r="U381" s="69"/>
      <c r="V381" s="69"/>
      <c r="AB381" s="57"/>
      <c r="AC381" s="57"/>
      <c r="AD381" s="57"/>
      <c r="AE381" s="57"/>
      <c r="AF381" s="57"/>
      <c r="AG381" s="57"/>
      <c r="AH381" s="57"/>
    </row>
    <row r="382">
      <c r="A382" s="139" t="s">
        <v>360</v>
      </c>
      <c r="B382" s="41" t="s">
        <v>1544</v>
      </c>
      <c r="C382" s="46">
        <v>7839.48</v>
      </c>
      <c r="D382" s="47" t="str">
        <f>HYPERLINK("https://osu.ppy.sh/u/3801260","Fart")</f>
        <v>Fart</v>
      </c>
      <c r="E382" s="55" t="s">
        <v>28</v>
      </c>
      <c r="F382" s="58" t="s">
        <v>77</v>
      </c>
      <c r="G382" s="48" t="s">
        <v>29</v>
      </c>
      <c r="H382" s="48" t="s">
        <v>67</v>
      </c>
      <c r="I382" s="48" t="s">
        <v>31</v>
      </c>
      <c r="J382" s="59" t="s">
        <v>32</v>
      </c>
      <c r="K382" s="74" t="s">
        <v>81</v>
      </c>
      <c r="L382" s="55" t="s">
        <v>417</v>
      </c>
      <c r="M382" s="1" t="s">
        <v>1438</v>
      </c>
      <c r="N382" s="1" t="s">
        <v>179</v>
      </c>
      <c r="O382" s="35" t="s">
        <v>496</v>
      </c>
      <c r="P382" s="72">
        <v>105.0</v>
      </c>
      <c r="Q382" s="73">
        <v>127.0</v>
      </c>
      <c r="R382" s="73">
        <v>70.0</v>
      </c>
      <c r="S382" s="73">
        <v>44.0</v>
      </c>
      <c r="T382" s="61" t="s">
        <v>42</v>
      </c>
      <c r="U382" s="55" t="s">
        <v>240</v>
      </c>
      <c r="V382" s="1" t="s">
        <v>74</v>
      </c>
      <c r="Z382" s="45">
        <v>43282.0</v>
      </c>
      <c r="AA382" s="57"/>
      <c r="AB382" s="57"/>
      <c r="AC382" s="57"/>
      <c r="AD382" s="57"/>
      <c r="AE382" s="57"/>
      <c r="AF382" s="57"/>
      <c r="AG382" s="57"/>
      <c r="AH382" s="57"/>
    </row>
    <row r="383">
      <c r="A383" s="139" t="s">
        <v>1545</v>
      </c>
      <c r="B383" s="41" t="s">
        <v>1546</v>
      </c>
      <c r="C383" s="46">
        <v>7831.22</v>
      </c>
      <c r="D383" s="47" t="str">
        <f>HYPERLINK("https://osu.ppy.sh/u/1125647","Shikibe Mayu")</f>
        <v>Shikibe Mayu</v>
      </c>
      <c r="E383" s="52" t="s">
        <v>28</v>
      </c>
      <c r="F383" s="36" t="s">
        <v>77</v>
      </c>
      <c r="G383" s="37" t="s">
        <v>29</v>
      </c>
      <c r="H383" s="37" t="s">
        <v>1547</v>
      </c>
      <c r="I383" s="37" t="s">
        <v>421</v>
      </c>
      <c r="J383" s="49"/>
      <c r="K383" s="39" t="s">
        <v>81</v>
      </c>
      <c r="L383" s="40" t="s">
        <v>207</v>
      </c>
      <c r="M383" s="40" t="s">
        <v>1548</v>
      </c>
      <c r="N383" s="40" t="s">
        <v>61</v>
      </c>
      <c r="O383" s="1" t="s">
        <v>1549</v>
      </c>
      <c r="P383" s="79"/>
      <c r="Q383" s="80"/>
      <c r="R383" s="80"/>
      <c r="S383" s="80"/>
      <c r="T383" s="69"/>
      <c r="U383" s="40" t="s">
        <v>1550</v>
      </c>
      <c r="V383" s="40" t="s">
        <v>63</v>
      </c>
      <c r="Z383" s="45">
        <v>43435.0</v>
      </c>
      <c r="AA383" s="57"/>
      <c r="AB383" s="57"/>
      <c r="AC383" s="57"/>
      <c r="AD383" s="57"/>
      <c r="AE383" s="57"/>
      <c r="AF383" s="57"/>
      <c r="AG383" s="57"/>
      <c r="AH383" s="57"/>
    </row>
    <row r="384">
      <c r="A384" s="139" t="s">
        <v>1551</v>
      </c>
      <c r="B384" s="1" t="s">
        <v>1552</v>
      </c>
      <c r="C384" s="33">
        <v>7822.54</v>
      </c>
      <c r="D384" s="34" t="str">
        <f>HYPERLINK("https://osu.ppy.sh/u/13510126","Iceplox")</f>
        <v>Iceplox</v>
      </c>
      <c r="E384" s="52" t="s">
        <v>28</v>
      </c>
      <c r="F384" s="48" t="s">
        <v>1553</v>
      </c>
      <c r="G384" s="37" t="s">
        <v>29</v>
      </c>
      <c r="H384" s="65" t="s">
        <v>67</v>
      </c>
      <c r="I384" s="48" t="s">
        <v>336</v>
      </c>
      <c r="J384" s="59" t="s">
        <v>32</v>
      </c>
      <c r="K384" s="53"/>
      <c r="L384" s="1" t="s">
        <v>1554</v>
      </c>
      <c r="M384" s="40" t="s">
        <v>1555</v>
      </c>
      <c r="N384" s="55" t="s">
        <v>148</v>
      </c>
      <c r="O384" s="41" t="s">
        <v>701</v>
      </c>
      <c r="P384" s="72" t="s">
        <v>1556</v>
      </c>
      <c r="Q384" s="73">
        <v>120.0</v>
      </c>
      <c r="R384" s="73">
        <v>60.0</v>
      </c>
      <c r="S384" s="73">
        <v>39.0</v>
      </c>
      <c r="T384" s="52" t="s">
        <v>42</v>
      </c>
      <c r="U384" s="55" t="s">
        <v>240</v>
      </c>
      <c r="V384" s="55" t="s">
        <v>74</v>
      </c>
      <c r="Z384" s="45">
        <v>44166.0</v>
      </c>
      <c r="AA384" s="57"/>
      <c r="AB384" s="57"/>
      <c r="AC384" s="57"/>
      <c r="AD384" s="57"/>
      <c r="AE384" s="57"/>
      <c r="AF384" s="57"/>
      <c r="AG384" s="57"/>
      <c r="AH384" s="57"/>
    </row>
    <row r="385">
      <c r="A385" s="139" t="s">
        <v>1557</v>
      </c>
      <c r="B385" s="1" t="s">
        <v>1558</v>
      </c>
      <c r="C385" s="33">
        <v>7807.15</v>
      </c>
      <c r="D385" s="154" t="str">
        <f>HYPERLINK("https://osu.ppy.sh/u/607979","12123435")</f>
        <v>12123435</v>
      </c>
      <c r="E385" s="52" t="s">
        <v>28</v>
      </c>
      <c r="F385" s="58" t="s">
        <v>105</v>
      </c>
      <c r="G385" s="48" t="s">
        <v>29</v>
      </c>
      <c r="H385" s="48" t="s">
        <v>1559</v>
      </c>
      <c r="I385" s="48" t="s">
        <v>404</v>
      </c>
      <c r="J385" s="59" t="s">
        <v>32</v>
      </c>
      <c r="K385" s="74" t="s">
        <v>33</v>
      </c>
      <c r="L385" s="1" t="s">
        <v>1377</v>
      </c>
      <c r="M385" s="1" t="s">
        <v>1366</v>
      </c>
      <c r="N385" s="1" t="s">
        <v>61</v>
      </c>
      <c r="O385" s="35" t="s">
        <v>52</v>
      </c>
      <c r="P385" s="91"/>
      <c r="Q385" s="92"/>
      <c r="R385" s="92"/>
      <c r="S385" s="92"/>
      <c r="U385" s="1" t="s">
        <v>1560</v>
      </c>
      <c r="V385" s="1" t="s">
        <v>94</v>
      </c>
      <c r="Z385" s="45">
        <v>43739.0</v>
      </c>
      <c r="AB385" s="57"/>
      <c r="AC385" s="57"/>
      <c r="AD385" s="57"/>
      <c r="AE385" s="57"/>
      <c r="AF385" s="57"/>
      <c r="AG385" s="57"/>
      <c r="AH385" s="57"/>
    </row>
    <row r="386">
      <c r="A386" s="139" t="s">
        <v>1561</v>
      </c>
      <c r="B386" s="1" t="s">
        <v>1558</v>
      </c>
      <c r="C386" s="33">
        <v>7806.78</v>
      </c>
      <c r="D386" s="34" t="str">
        <f>HYPERLINK("https://osu.ppy.sh/u/3006257","Sluggo")</f>
        <v>Sluggo</v>
      </c>
      <c r="E386" s="41" t="s">
        <v>28</v>
      </c>
      <c r="F386" s="48" t="s">
        <v>206</v>
      </c>
      <c r="G386" s="48" t="s">
        <v>29</v>
      </c>
      <c r="H386" s="48" t="s">
        <v>1234</v>
      </c>
      <c r="I386" s="48" t="s">
        <v>98</v>
      </c>
      <c r="J386" s="59" t="s">
        <v>32</v>
      </c>
      <c r="K386" s="53"/>
      <c r="L386" s="1" t="s">
        <v>114</v>
      </c>
      <c r="M386" s="40" t="s">
        <v>139</v>
      </c>
      <c r="N386" s="55" t="s">
        <v>61</v>
      </c>
      <c r="O386" s="40" t="s">
        <v>141</v>
      </c>
      <c r="P386" s="42" t="s">
        <v>71</v>
      </c>
      <c r="Q386" s="43" t="s">
        <v>39</v>
      </c>
      <c r="R386" s="43" t="s">
        <v>72</v>
      </c>
      <c r="S386" s="43" t="s">
        <v>41</v>
      </c>
      <c r="T386" s="40" t="s">
        <v>42</v>
      </c>
      <c r="U386" s="55" t="s">
        <v>93</v>
      </c>
      <c r="V386" s="55" t="s">
        <v>94</v>
      </c>
      <c r="Z386" s="45">
        <v>44197.0</v>
      </c>
      <c r="AA386" s="57"/>
      <c r="AB386" s="57"/>
      <c r="AC386" s="57"/>
      <c r="AD386" s="57"/>
      <c r="AE386" s="57"/>
      <c r="AF386" s="57"/>
      <c r="AG386" s="57"/>
      <c r="AH386" s="57"/>
    </row>
    <row r="387">
      <c r="A387" s="139" t="s">
        <v>1562</v>
      </c>
      <c r="B387" s="1" t="s">
        <v>1563</v>
      </c>
      <c r="C387" s="33">
        <v>7803.07</v>
      </c>
      <c r="D387" s="34" t="str">
        <f>HYPERLINK("https://osu.ppy.sh/u/3972929","AriizuCA")</f>
        <v>AriizuCA</v>
      </c>
      <c r="E387" s="1" t="s">
        <v>28</v>
      </c>
      <c r="F387" s="58">
        <v>800.0</v>
      </c>
      <c r="G387" s="48" t="s">
        <v>29</v>
      </c>
      <c r="H387" s="48" t="s">
        <v>67</v>
      </c>
      <c r="I387" s="48" t="s">
        <v>31</v>
      </c>
      <c r="J387" s="59" t="s">
        <v>32</v>
      </c>
      <c r="K387" s="74">
        <v>1000.0</v>
      </c>
      <c r="L387" s="1" t="s">
        <v>222</v>
      </c>
      <c r="M387" s="1" t="s">
        <v>69</v>
      </c>
      <c r="N387" s="1" t="s">
        <v>179</v>
      </c>
      <c r="P387" s="91"/>
      <c r="Q387" s="92"/>
      <c r="R387" s="92"/>
      <c r="S387" s="92"/>
      <c r="U387" s="1" t="s">
        <v>831</v>
      </c>
      <c r="V387" s="1" t="s">
        <v>89</v>
      </c>
      <c r="Z387" s="45">
        <v>42979.0</v>
      </c>
      <c r="AB387" s="57"/>
      <c r="AC387" s="57"/>
      <c r="AD387" s="57"/>
      <c r="AE387" s="57"/>
      <c r="AF387" s="57"/>
      <c r="AG387" s="57"/>
      <c r="AH387" s="57"/>
    </row>
    <row r="388">
      <c r="A388" s="139" t="s">
        <v>371</v>
      </c>
      <c r="B388" s="1" t="s">
        <v>1564</v>
      </c>
      <c r="C388" s="33">
        <v>7802.67</v>
      </c>
      <c r="D388" s="34" t="str">
        <f>HYPERLINK("https://osu.ppy.sh/u/3305640","Kyschel")</f>
        <v>Kyschel</v>
      </c>
      <c r="E388" s="55" t="s">
        <v>28</v>
      </c>
      <c r="F388" s="109"/>
      <c r="G388" s="53"/>
      <c r="H388" s="53"/>
      <c r="I388" s="53"/>
      <c r="J388" s="54"/>
      <c r="K388" s="60"/>
      <c r="L388" s="53"/>
      <c r="P388" s="91"/>
      <c r="Q388" s="92"/>
      <c r="R388" s="93"/>
      <c r="S388" s="93"/>
      <c r="T388" s="53"/>
      <c r="U388" s="53"/>
      <c r="AB388" s="57"/>
      <c r="AC388" s="57"/>
      <c r="AD388" s="57"/>
      <c r="AE388" s="57"/>
      <c r="AF388" s="57"/>
      <c r="AG388" s="57"/>
      <c r="AH388" s="57"/>
    </row>
    <row r="389">
      <c r="A389" s="139" t="s">
        <v>1565</v>
      </c>
      <c r="B389" s="41" t="s">
        <v>1566</v>
      </c>
      <c r="C389" s="46">
        <v>7801.34</v>
      </c>
      <c r="D389" s="62" t="str">
        <f>HYPERLINK("https://osu.ppy.sh/u/451786","Hermatis")</f>
        <v>Hermatis</v>
      </c>
      <c r="E389" s="35" t="s">
        <v>28</v>
      </c>
      <c r="F389" s="63">
        <v>1800.0</v>
      </c>
      <c r="G389" s="66" t="s">
        <v>877</v>
      </c>
      <c r="H389" s="66" t="s">
        <v>67</v>
      </c>
      <c r="I389" s="66" t="s">
        <v>311</v>
      </c>
      <c r="J389" s="70" t="s">
        <v>192</v>
      </c>
      <c r="K389" s="82"/>
      <c r="L389" s="61" t="s">
        <v>536</v>
      </c>
      <c r="M389" s="35" t="s">
        <v>1438</v>
      </c>
      <c r="N389" s="35" t="s">
        <v>174</v>
      </c>
      <c r="O389" s="35" t="s">
        <v>496</v>
      </c>
      <c r="P389" s="72">
        <v>105.0</v>
      </c>
      <c r="Q389" s="73">
        <v>127.0</v>
      </c>
      <c r="R389" s="73">
        <v>70.0</v>
      </c>
      <c r="S389" s="73">
        <v>44.0</v>
      </c>
      <c r="T389" s="35" t="s">
        <v>42</v>
      </c>
      <c r="U389" s="35" t="s">
        <v>1567</v>
      </c>
      <c r="V389" s="35" t="s">
        <v>94</v>
      </c>
      <c r="Z389" s="45">
        <v>42736.0</v>
      </c>
      <c r="AB389" s="57"/>
      <c r="AC389" s="57"/>
      <c r="AD389" s="57"/>
      <c r="AE389" s="57"/>
      <c r="AF389" s="57"/>
      <c r="AG389" s="57"/>
      <c r="AH389" s="57"/>
    </row>
    <row r="390">
      <c r="A390" s="139" t="s">
        <v>1568</v>
      </c>
      <c r="B390" s="41" t="s">
        <v>1569</v>
      </c>
      <c r="C390" s="46">
        <v>7792.62</v>
      </c>
      <c r="D390" s="83" t="str">
        <f>HYPERLINK("https://osu.ppy.sh/u/4698485","-Brethia")</f>
        <v>-Brethia</v>
      </c>
      <c r="E390" s="41" t="s">
        <v>1570</v>
      </c>
      <c r="F390" s="63">
        <v>1000.0</v>
      </c>
      <c r="G390" s="65" t="s">
        <v>1571</v>
      </c>
      <c r="H390" s="65" t="s">
        <v>1572</v>
      </c>
      <c r="I390" s="65" t="s">
        <v>31</v>
      </c>
      <c r="J390" s="89" t="s">
        <v>32</v>
      </c>
      <c r="K390" s="82"/>
      <c r="L390" s="52" t="s">
        <v>386</v>
      </c>
      <c r="M390" s="41" t="s">
        <v>1573</v>
      </c>
      <c r="N390" s="41" t="s">
        <v>179</v>
      </c>
      <c r="O390" s="55" t="s">
        <v>1010</v>
      </c>
      <c r="P390" s="48" t="s">
        <v>166</v>
      </c>
      <c r="Q390" s="48" t="s">
        <v>1574</v>
      </c>
      <c r="R390" s="48" t="s">
        <v>1012</v>
      </c>
      <c r="S390" s="48" t="s">
        <v>87</v>
      </c>
      <c r="T390" s="40" t="s">
        <v>42</v>
      </c>
      <c r="U390" s="41" t="s">
        <v>1575</v>
      </c>
      <c r="V390" s="41" t="s">
        <v>74</v>
      </c>
      <c r="AB390" s="57"/>
      <c r="AC390" s="57"/>
      <c r="AD390" s="57"/>
      <c r="AE390" s="57"/>
      <c r="AF390" s="57"/>
      <c r="AG390" s="57"/>
      <c r="AH390" s="57"/>
    </row>
    <row r="391">
      <c r="A391" s="139" t="s">
        <v>1576</v>
      </c>
      <c r="B391" s="1" t="s">
        <v>1577</v>
      </c>
      <c r="C391" s="33">
        <v>7784.98</v>
      </c>
      <c r="D391" s="34" t="str">
        <f>HYPERLINK("https://osu.ppy.sh/u/10950731","Askehraz")</f>
        <v>Askehraz</v>
      </c>
      <c r="E391" s="41"/>
      <c r="F391" s="48"/>
      <c r="G391" s="48"/>
      <c r="H391" s="48"/>
      <c r="I391" s="37"/>
      <c r="J391" s="59"/>
      <c r="K391" s="53"/>
      <c r="L391" s="1"/>
      <c r="M391" s="55"/>
      <c r="N391" s="56"/>
      <c r="O391" s="1"/>
      <c r="P391" s="85"/>
      <c r="Q391" s="86"/>
      <c r="R391" s="87"/>
      <c r="S391" s="87"/>
      <c r="T391" s="110"/>
      <c r="U391" s="56"/>
      <c r="V391" s="56"/>
      <c r="Z391" s="45"/>
      <c r="AA391" s="57"/>
      <c r="AB391" s="57"/>
      <c r="AC391" s="57"/>
      <c r="AD391" s="57"/>
      <c r="AE391" s="57"/>
      <c r="AF391" s="57"/>
      <c r="AG391" s="57"/>
      <c r="AH391" s="57"/>
    </row>
    <row r="392">
      <c r="A392" s="139" t="s">
        <v>1578</v>
      </c>
      <c r="B392" s="41" t="s">
        <v>1579</v>
      </c>
      <c r="C392" s="46">
        <v>7779.19</v>
      </c>
      <c r="D392" s="47" t="str">
        <f>HYPERLINK("https://osu.ppy.sh/u/3664313","Zakuan")</f>
        <v>Zakuan</v>
      </c>
      <c r="E392" s="52" t="s">
        <v>28</v>
      </c>
      <c r="F392" s="100"/>
      <c r="G392" s="101"/>
      <c r="H392" s="101"/>
      <c r="I392" s="101"/>
      <c r="J392" s="49"/>
      <c r="K392" s="82"/>
      <c r="L392" s="69"/>
      <c r="M392" s="69"/>
      <c r="N392" s="69"/>
      <c r="O392" s="69"/>
      <c r="P392" s="79"/>
      <c r="Q392" s="80"/>
      <c r="R392" s="80"/>
      <c r="S392" s="80"/>
      <c r="T392" s="69"/>
      <c r="U392" s="69"/>
      <c r="V392" s="69"/>
      <c r="AB392" s="57"/>
      <c r="AC392" s="57"/>
      <c r="AD392" s="57"/>
      <c r="AE392" s="57"/>
      <c r="AF392" s="57"/>
      <c r="AG392" s="57"/>
      <c r="AH392" s="57"/>
    </row>
    <row r="393">
      <c r="A393" s="139" t="s">
        <v>1580</v>
      </c>
      <c r="B393" s="1" t="s">
        <v>1581</v>
      </c>
      <c r="C393" s="33">
        <v>7768.91</v>
      </c>
      <c r="D393" s="34" t="str">
        <f>HYPERLINK("https://osu.ppy.sh/u/5405852","0e4ef622")</f>
        <v>0e4ef622</v>
      </c>
      <c r="E393" s="1" t="s">
        <v>571</v>
      </c>
      <c r="F393" s="109"/>
      <c r="G393" s="53"/>
      <c r="H393" s="53"/>
      <c r="I393" s="53"/>
      <c r="J393" s="54"/>
      <c r="K393" s="60"/>
      <c r="M393" s="1" t="s">
        <v>199</v>
      </c>
      <c r="O393" s="75" t="s">
        <v>201</v>
      </c>
      <c r="P393" s="72">
        <v>103.0</v>
      </c>
      <c r="Q393" s="73">
        <v>136.0</v>
      </c>
      <c r="R393" s="73">
        <v>72.0</v>
      </c>
      <c r="S393" s="73">
        <v>41.0</v>
      </c>
      <c r="T393" s="44" t="s">
        <v>42</v>
      </c>
      <c r="Z393" s="45"/>
      <c r="AB393" s="57"/>
      <c r="AC393" s="57"/>
      <c r="AD393" s="57"/>
      <c r="AE393" s="57"/>
      <c r="AF393" s="57"/>
      <c r="AG393" s="57"/>
      <c r="AH393" s="57"/>
    </row>
    <row r="394">
      <c r="A394" s="139" t="s">
        <v>378</v>
      </c>
      <c r="B394" s="41" t="s">
        <v>1582</v>
      </c>
      <c r="C394" s="46">
        <v>7767.27</v>
      </c>
      <c r="D394" s="47" t="str">
        <f>HYPERLINK("https://osu.ppy.sh/u/6664128","Retrofit")</f>
        <v>Retrofit</v>
      </c>
      <c r="E394" s="55" t="s">
        <v>28</v>
      </c>
      <c r="F394" s="48" t="s">
        <v>105</v>
      </c>
      <c r="G394" s="37" t="s">
        <v>29</v>
      </c>
      <c r="H394" s="66" t="s">
        <v>67</v>
      </c>
      <c r="I394" s="37" t="s">
        <v>31</v>
      </c>
      <c r="J394" s="38" t="s">
        <v>32</v>
      </c>
      <c r="K394" s="39" t="s">
        <v>33</v>
      </c>
      <c r="L394" s="52" t="s">
        <v>222</v>
      </c>
      <c r="M394" s="1" t="s">
        <v>147</v>
      </c>
      <c r="N394" s="1" t="s">
        <v>1038</v>
      </c>
      <c r="O394" s="1" t="s">
        <v>149</v>
      </c>
      <c r="P394" s="48">
        <v>61.0</v>
      </c>
      <c r="Q394" s="73" t="s">
        <v>151</v>
      </c>
      <c r="R394" s="48" t="s">
        <v>152</v>
      </c>
      <c r="S394" s="48" t="s">
        <v>41</v>
      </c>
      <c r="T394" s="52" t="s">
        <v>153</v>
      </c>
      <c r="U394" s="1" t="s">
        <v>600</v>
      </c>
      <c r="V394" s="1" t="s">
        <v>74</v>
      </c>
      <c r="Z394" s="45">
        <v>43983.0</v>
      </c>
      <c r="AB394" s="57"/>
      <c r="AC394" s="57"/>
      <c r="AD394" s="57"/>
      <c r="AE394" s="57"/>
      <c r="AF394" s="57"/>
      <c r="AG394" s="57"/>
      <c r="AH394" s="57"/>
    </row>
    <row r="395">
      <c r="A395" s="139" t="s">
        <v>1583</v>
      </c>
      <c r="B395" s="41" t="s">
        <v>1584</v>
      </c>
      <c r="C395" s="46">
        <v>7753.91</v>
      </c>
      <c r="D395" s="62" t="str">
        <f>HYPERLINK("https://osu.ppy.sh/u/683791","[ Beatrice ]")</f>
        <v>[ Beatrice ]</v>
      </c>
      <c r="E395" s="61" t="s">
        <v>28</v>
      </c>
      <c r="F395" s="63">
        <v>800.0</v>
      </c>
      <c r="G395" s="66" t="s">
        <v>1571</v>
      </c>
      <c r="H395" s="66" t="s">
        <v>424</v>
      </c>
      <c r="I395" s="66" t="s">
        <v>293</v>
      </c>
      <c r="J395" s="70" t="s">
        <v>1585</v>
      </c>
      <c r="K395" s="82"/>
      <c r="L395" s="61" t="s">
        <v>1586</v>
      </c>
      <c r="M395" s="35" t="s">
        <v>433</v>
      </c>
      <c r="N395" s="35" t="s">
        <v>1587</v>
      </c>
      <c r="O395" s="35" t="s">
        <v>435</v>
      </c>
      <c r="P395" s="79"/>
      <c r="Q395" s="80"/>
      <c r="R395" s="80"/>
      <c r="S395" s="80"/>
      <c r="T395" s="69"/>
      <c r="U395" s="35" t="s">
        <v>609</v>
      </c>
      <c r="V395" s="35" t="s">
        <v>1588</v>
      </c>
      <c r="AB395" s="57"/>
      <c r="AC395" s="57"/>
      <c r="AD395" s="57"/>
      <c r="AE395" s="57"/>
      <c r="AF395" s="57"/>
      <c r="AG395" s="57"/>
      <c r="AH395" s="57"/>
    </row>
    <row r="396">
      <c r="A396" s="139" t="s">
        <v>1589</v>
      </c>
      <c r="B396" s="1" t="s">
        <v>1590</v>
      </c>
      <c r="C396" s="33">
        <v>7745.83</v>
      </c>
      <c r="D396" s="34" t="str">
        <f>HYPERLINK("https://osu.ppy.sh/u/13021730","BALLLS ITCH")</f>
        <v>BALLLS ITCH</v>
      </c>
      <c r="E396" s="41"/>
      <c r="F396" s="53"/>
      <c r="G396" s="53"/>
      <c r="H396" s="53"/>
      <c r="I396" s="53"/>
      <c r="J396" s="54"/>
      <c r="K396" s="53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Z396" s="45"/>
      <c r="AA396" s="57"/>
      <c r="AB396" s="57"/>
      <c r="AC396" s="57"/>
      <c r="AD396" s="57"/>
      <c r="AE396" s="57"/>
      <c r="AF396" s="57"/>
      <c r="AG396" s="57"/>
      <c r="AH396" s="57"/>
    </row>
    <row r="397">
      <c r="A397" s="139" t="s">
        <v>1591</v>
      </c>
      <c r="B397" s="41" t="s">
        <v>1590</v>
      </c>
      <c r="C397" s="46">
        <v>7744.3</v>
      </c>
      <c r="D397" s="47" t="str">
        <f>HYPERLINK("https://osu.ppy.sh/u/2154153","quattro cani")</f>
        <v>quattro cani</v>
      </c>
      <c r="E397" s="1" t="s">
        <v>28</v>
      </c>
      <c r="F397" s="100"/>
      <c r="G397" s="101"/>
      <c r="H397" s="101"/>
      <c r="I397" s="101"/>
      <c r="J397" s="49"/>
      <c r="K397" s="82"/>
      <c r="L397" s="69"/>
      <c r="M397" s="69"/>
      <c r="N397" s="69"/>
      <c r="O397" s="69"/>
      <c r="P397" s="79"/>
      <c r="Q397" s="80"/>
      <c r="R397" s="80"/>
      <c r="S397" s="80"/>
      <c r="T397" s="69"/>
      <c r="U397" s="69"/>
      <c r="V397" s="69"/>
      <c r="AB397" s="57"/>
      <c r="AC397" s="57"/>
      <c r="AD397" s="57"/>
      <c r="AE397" s="57"/>
      <c r="AF397" s="57"/>
      <c r="AG397" s="57"/>
      <c r="AH397" s="57"/>
    </row>
    <row r="398">
      <c r="A398" s="139" t="s">
        <v>1592</v>
      </c>
      <c r="B398" s="1" t="s">
        <v>1593</v>
      </c>
      <c r="C398" s="33">
        <v>7734.77</v>
      </c>
      <c r="D398" s="34" t="str">
        <f>HYPERLINK("https://osu.ppy.sh/u/5004131","Nakko")</f>
        <v>Nakko</v>
      </c>
      <c r="E398" s="52" t="s">
        <v>28</v>
      </c>
      <c r="F398" s="100"/>
      <c r="G398" s="101"/>
      <c r="H398" s="101"/>
      <c r="I398" s="101"/>
      <c r="J398" s="49"/>
      <c r="K398" s="82"/>
      <c r="L398" s="69"/>
      <c r="M398" s="69"/>
      <c r="N398" s="69"/>
      <c r="O398" s="69"/>
      <c r="P398" s="79"/>
      <c r="Q398" s="80"/>
      <c r="R398" s="80"/>
      <c r="S398" s="80"/>
      <c r="T398" s="69"/>
      <c r="U398" s="69"/>
      <c r="V398" s="69"/>
      <c r="AA398" s="57"/>
      <c r="AB398" s="57"/>
      <c r="AC398" s="57"/>
      <c r="AD398" s="57"/>
      <c r="AE398" s="57"/>
      <c r="AF398" s="57"/>
      <c r="AG398" s="57"/>
      <c r="AH398" s="57"/>
    </row>
    <row r="399">
      <c r="A399" s="139" t="s">
        <v>1594</v>
      </c>
      <c r="B399" s="41" t="s">
        <v>1595</v>
      </c>
      <c r="C399" s="46">
        <v>7728.01</v>
      </c>
      <c r="D399" s="47" t="str">
        <f>HYPERLINK("https://osu.ppy.sh/u/9536786","derps")</f>
        <v>derps</v>
      </c>
      <c r="E399" s="52" t="s">
        <v>28</v>
      </c>
      <c r="F399" s="109"/>
      <c r="G399" s="53"/>
      <c r="H399" s="53"/>
      <c r="I399" s="53"/>
      <c r="J399" s="54"/>
      <c r="K399" s="60"/>
      <c r="P399" s="91"/>
      <c r="Q399" s="92"/>
      <c r="R399" s="92"/>
      <c r="S399" s="92"/>
      <c r="Z399" s="45"/>
      <c r="AA399" s="57"/>
      <c r="AB399" s="57"/>
      <c r="AC399" s="57"/>
      <c r="AD399" s="57"/>
      <c r="AE399" s="57"/>
      <c r="AF399" s="57"/>
      <c r="AG399" s="57"/>
      <c r="AH399" s="57"/>
    </row>
    <row r="400">
      <c r="A400" s="139" t="s">
        <v>1596</v>
      </c>
      <c r="B400" s="41" t="s">
        <v>1597</v>
      </c>
      <c r="C400" s="46">
        <v>7722.56</v>
      </c>
      <c r="D400" s="62" t="str">
        <f>HYPERLINK("https://osu.ppy.sh/u/3531490","Genjitsu")</f>
        <v>Genjitsu</v>
      </c>
      <c r="E400" s="61" t="s">
        <v>28</v>
      </c>
      <c r="F400" s="36" t="s">
        <v>206</v>
      </c>
      <c r="G400" s="37" t="s">
        <v>1571</v>
      </c>
      <c r="H400" s="37" t="s">
        <v>67</v>
      </c>
      <c r="I400" s="37" t="s">
        <v>404</v>
      </c>
      <c r="J400" s="38" t="s">
        <v>192</v>
      </c>
      <c r="K400" s="82"/>
      <c r="L400" s="40" t="s">
        <v>1371</v>
      </c>
      <c r="M400" s="75" t="s">
        <v>1598</v>
      </c>
      <c r="N400" s="40" t="s">
        <v>295</v>
      </c>
      <c r="O400" s="57"/>
      <c r="P400" s="79"/>
      <c r="Q400" s="80"/>
      <c r="R400" s="80"/>
      <c r="S400" s="80"/>
      <c r="T400" s="57"/>
      <c r="U400" s="75" t="s">
        <v>1599</v>
      </c>
      <c r="V400" s="75" t="s">
        <v>74</v>
      </c>
      <c r="Z400" s="45">
        <v>43282.0</v>
      </c>
      <c r="AB400" s="57"/>
      <c r="AC400" s="57"/>
      <c r="AD400" s="57"/>
      <c r="AE400" s="57"/>
      <c r="AF400" s="57"/>
      <c r="AG400" s="57"/>
      <c r="AH400" s="57"/>
    </row>
    <row r="401">
      <c r="A401" s="139" t="s">
        <v>1600</v>
      </c>
      <c r="B401" s="41" t="s">
        <v>1601</v>
      </c>
      <c r="C401" s="46">
        <v>7716.68</v>
      </c>
      <c r="D401" s="83" t="str">
        <f>HYPERLINK("https://osu.ppy.sh/u/4147031","[soul1027]")</f>
        <v>[soul1027]</v>
      </c>
      <c r="E401" s="52" t="s">
        <v>28</v>
      </c>
      <c r="F401" s="100"/>
      <c r="G401" s="101"/>
      <c r="H401" s="101"/>
      <c r="I401" s="101"/>
      <c r="J401" s="49"/>
      <c r="K401" s="82"/>
      <c r="L401" s="69"/>
      <c r="M401" s="69"/>
      <c r="N401" s="69"/>
      <c r="O401" s="69"/>
      <c r="P401" s="79"/>
      <c r="Q401" s="80"/>
      <c r="R401" s="80"/>
      <c r="S401" s="80"/>
      <c r="T401" s="69"/>
      <c r="U401" s="69"/>
      <c r="V401" s="69"/>
      <c r="AA401" s="57"/>
      <c r="AB401" s="57"/>
      <c r="AC401" s="57"/>
      <c r="AD401" s="57"/>
      <c r="AE401" s="57"/>
      <c r="AF401" s="57"/>
      <c r="AG401" s="57"/>
      <c r="AH401" s="57"/>
    </row>
    <row r="402">
      <c r="A402" s="139" t="s">
        <v>1602</v>
      </c>
      <c r="B402" s="41" t="s">
        <v>1603</v>
      </c>
      <c r="C402" s="46">
        <v>7712.63</v>
      </c>
      <c r="D402" s="62" t="str">
        <f>HYPERLINK("https://osu.ppy.sh/u/6147171","Verdade")</f>
        <v>Verdade</v>
      </c>
      <c r="E402" s="52" t="s">
        <v>28</v>
      </c>
      <c r="F402" s="63"/>
      <c r="G402" s="66"/>
      <c r="H402" s="66"/>
      <c r="I402" s="66"/>
      <c r="J402" s="70"/>
      <c r="K402" s="71"/>
      <c r="L402" s="61"/>
      <c r="M402" s="41" t="s">
        <v>389</v>
      </c>
      <c r="N402" s="35"/>
      <c r="O402" s="35" t="s">
        <v>391</v>
      </c>
      <c r="P402" s="72">
        <v>103.0</v>
      </c>
      <c r="Q402" s="73">
        <v>136.0</v>
      </c>
      <c r="R402" s="73">
        <v>72.0</v>
      </c>
      <c r="S402" s="73">
        <v>41.0</v>
      </c>
      <c r="T402" s="61" t="s">
        <v>42</v>
      </c>
      <c r="U402" s="35"/>
      <c r="V402" s="35"/>
      <c r="Z402" s="45"/>
      <c r="AB402" s="57"/>
      <c r="AC402" s="57"/>
      <c r="AD402" s="57"/>
      <c r="AE402" s="57"/>
      <c r="AF402" s="57"/>
      <c r="AG402" s="57"/>
      <c r="AH402" s="57"/>
    </row>
    <row r="403">
      <c r="A403" s="139" t="s">
        <v>1604</v>
      </c>
      <c r="B403" s="41" t="s">
        <v>1605</v>
      </c>
      <c r="C403" s="46">
        <v>7707.71</v>
      </c>
      <c r="D403" s="62" t="str">
        <f>HYPERLINK("https://osu.ppy.sh/u/2105946","Breiz")</f>
        <v>Breiz</v>
      </c>
      <c r="E403" s="61" t="s">
        <v>571</v>
      </c>
      <c r="F403" s="63">
        <v>800.0</v>
      </c>
      <c r="G403" s="66" t="s">
        <v>29</v>
      </c>
      <c r="H403" s="66" t="s">
        <v>67</v>
      </c>
      <c r="I403" s="66" t="s">
        <v>1606</v>
      </c>
      <c r="J403" s="70" t="s">
        <v>32</v>
      </c>
      <c r="K403" s="71">
        <v>1000.0</v>
      </c>
      <c r="L403" s="61" t="s">
        <v>477</v>
      </c>
      <c r="M403" s="35" t="s">
        <v>658</v>
      </c>
      <c r="N403" s="35" t="s">
        <v>696</v>
      </c>
      <c r="O403" s="35" t="s">
        <v>52</v>
      </c>
      <c r="P403" s="72">
        <v>102.0</v>
      </c>
      <c r="Q403" s="73">
        <v>131.0</v>
      </c>
      <c r="R403" s="73">
        <v>72.0</v>
      </c>
      <c r="S403" s="73">
        <v>42.0</v>
      </c>
      <c r="T403" s="61" t="s">
        <v>218</v>
      </c>
      <c r="U403" s="69"/>
      <c r="V403" s="69"/>
      <c r="AB403" s="57"/>
      <c r="AC403" s="57"/>
      <c r="AD403" s="57"/>
      <c r="AE403" s="57"/>
      <c r="AF403" s="57"/>
      <c r="AG403" s="57"/>
      <c r="AH403" s="57"/>
    </row>
    <row r="404">
      <c r="A404" s="139" t="s">
        <v>1607</v>
      </c>
      <c r="B404" s="1" t="s">
        <v>1608</v>
      </c>
      <c r="C404" s="33">
        <v>7705.1</v>
      </c>
      <c r="D404" s="34" t="str">
        <f>HYPERLINK("https://osu.ppy.sh/u/4359069","Shinoue")</f>
        <v>Shinoue</v>
      </c>
      <c r="E404" s="41" t="s">
        <v>28</v>
      </c>
      <c r="G404" s="53"/>
      <c r="I404" s="53"/>
      <c r="J404" s="54"/>
      <c r="AB404" s="57"/>
      <c r="AC404" s="57"/>
      <c r="AD404" s="57"/>
      <c r="AE404" s="57"/>
      <c r="AF404" s="57"/>
      <c r="AG404" s="57"/>
      <c r="AH404" s="57"/>
    </row>
    <row r="405">
      <c r="A405" s="139" t="s">
        <v>1609</v>
      </c>
      <c r="B405" s="41" t="s">
        <v>1610</v>
      </c>
      <c r="C405" s="46">
        <v>7704.08</v>
      </c>
      <c r="D405" s="47" t="str">
        <f>HYPERLINK("https://osu.ppy.sh/u/6854469","Fenikzz")</f>
        <v>Fenikzz</v>
      </c>
      <c r="E405" s="52" t="s">
        <v>28</v>
      </c>
      <c r="F405" s="48" t="s">
        <v>105</v>
      </c>
      <c r="G405" s="48" t="s">
        <v>29</v>
      </c>
      <c r="H405" s="48" t="s">
        <v>1234</v>
      </c>
      <c r="I405" s="48" t="s">
        <v>106</v>
      </c>
      <c r="J405" s="59" t="s">
        <v>32</v>
      </c>
      <c r="K405" s="48" t="s">
        <v>33</v>
      </c>
      <c r="L405" s="1" t="s">
        <v>477</v>
      </c>
      <c r="M405" s="1" t="s">
        <v>288</v>
      </c>
      <c r="N405" s="1" t="s">
        <v>1611</v>
      </c>
      <c r="O405" s="41" t="s">
        <v>109</v>
      </c>
      <c r="P405" s="42">
        <v>85.0</v>
      </c>
      <c r="Q405" s="43">
        <v>117.0</v>
      </c>
      <c r="R405" s="43">
        <v>62.0</v>
      </c>
      <c r="S405" s="43">
        <v>38.0</v>
      </c>
      <c r="T405" s="40" t="s">
        <v>42</v>
      </c>
      <c r="U405" s="1" t="s">
        <v>693</v>
      </c>
      <c r="V405" s="1" t="s">
        <v>74</v>
      </c>
      <c r="Z405" s="45">
        <v>43497.0</v>
      </c>
      <c r="AB405" s="57"/>
      <c r="AC405" s="57"/>
      <c r="AD405" s="57"/>
      <c r="AE405" s="57"/>
      <c r="AF405" s="57"/>
      <c r="AG405" s="57"/>
      <c r="AH405" s="57"/>
    </row>
    <row r="406">
      <c r="A406" s="139" t="s">
        <v>1612</v>
      </c>
      <c r="B406" s="41" t="s">
        <v>1613</v>
      </c>
      <c r="C406" s="46">
        <v>7703.66</v>
      </c>
      <c r="D406" s="62" t="str">
        <f>HYPERLINK("https://osu.ppy.sh/u/2337263","Peekamoo")</f>
        <v>Peekamoo</v>
      </c>
      <c r="E406" s="40" t="s">
        <v>28</v>
      </c>
      <c r="F406" s="36">
        <v>800.0</v>
      </c>
      <c r="G406" s="37" t="s">
        <v>29</v>
      </c>
      <c r="H406" s="37" t="s">
        <v>67</v>
      </c>
      <c r="I406" s="37" t="s">
        <v>106</v>
      </c>
      <c r="J406" s="38" t="s">
        <v>192</v>
      </c>
      <c r="K406" s="39">
        <v>1000.0</v>
      </c>
      <c r="L406" s="61" t="s">
        <v>107</v>
      </c>
      <c r="M406" s="40" t="s">
        <v>199</v>
      </c>
      <c r="N406" s="40" t="s">
        <v>92</v>
      </c>
      <c r="O406" s="35" t="s">
        <v>201</v>
      </c>
      <c r="P406" s="72">
        <v>103.0</v>
      </c>
      <c r="Q406" s="73">
        <v>136.0</v>
      </c>
      <c r="R406" s="73">
        <v>72.0</v>
      </c>
      <c r="S406" s="73">
        <v>41.0</v>
      </c>
      <c r="T406" s="44" t="s">
        <v>42</v>
      </c>
      <c r="U406" s="40" t="s">
        <v>1614</v>
      </c>
      <c r="V406" s="40" t="s">
        <v>89</v>
      </c>
      <c r="Z406" s="45">
        <v>42795.0</v>
      </c>
      <c r="AB406" s="57"/>
      <c r="AC406" s="57"/>
      <c r="AD406" s="57"/>
      <c r="AE406" s="57"/>
      <c r="AF406" s="57"/>
      <c r="AG406" s="57"/>
      <c r="AH406" s="57"/>
    </row>
    <row r="407">
      <c r="A407" s="139" t="s">
        <v>1615</v>
      </c>
      <c r="B407" s="41" t="s">
        <v>1616</v>
      </c>
      <c r="C407" s="46">
        <v>7702.27</v>
      </c>
      <c r="D407" s="62" t="str">
        <f>HYPERLINK("https://osu.ppy.sh/u/910779","Soly")</f>
        <v>Soly</v>
      </c>
      <c r="E407" s="35" t="s">
        <v>28</v>
      </c>
      <c r="F407" s="63">
        <v>1000.0</v>
      </c>
      <c r="G407" s="66" t="s">
        <v>29</v>
      </c>
      <c r="H407" s="66" t="s">
        <v>67</v>
      </c>
      <c r="I407" s="66" t="s">
        <v>579</v>
      </c>
      <c r="J407" s="70" t="s">
        <v>32</v>
      </c>
      <c r="K407" s="71">
        <v>500.0</v>
      </c>
      <c r="L407" s="61" t="s">
        <v>107</v>
      </c>
      <c r="M407" s="35" t="s">
        <v>1617</v>
      </c>
      <c r="N407" s="35" t="s">
        <v>92</v>
      </c>
      <c r="O407" s="35" t="s">
        <v>314</v>
      </c>
      <c r="P407" s="42" t="s">
        <v>801</v>
      </c>
      <c r="Q407" s="43" t="s">
        <v>367</v>
      </c>
      <c r="R407" s="43" t="s">
        <v>347</v>
      </c>
      <c r="S407" s="43" t="s">
        <v>368</v>
      </c>
      <c r="T407" s="44" t="s">
        <v>42</v>
      </c>
      <c r="U407" s="75" t="s">
        <v>1618</v>
      </c>
      <c r="V407" s="75" t="s">
        <v>74</v>
      </c>
      <c r="AB407" s="57"/>
      <c r="AC407" s="57"/>
      <c r="AD407" s="57"/>
      <c r="AE407" s="57"/>
      <c r="AF407" s="57"/>
      <c r="AG407" s="57"/>
      <c r="AH407" s="57"/>
    </row>
    <row r="408">
      <c r="A408" s="139" t="s">
        <v>384</v>
      </c>
      <c r="B408" s="41" t="s">
        <v>1619</v>
      </c>
      <c r="C408" s="46">
        <v>7701.85</v>
      </c>
      <c r="D408" s="83" t="str">
        <f>HYPERLINK("https://osu.ppy.sh/u/3774028","freshcoconut")</f>
        <v>freshcoconut</v>
      </c>
      <c r="E408" s="52" t="s">
        <v>28</v>
      </c>
      <c r="F408" s="100"/>
      <c r="G408" s="101"/>
      <c r="H408" s="101"/>
      <c r="I408" s="101"/>
      <c r="J408" s="49"/>
      <c r="K408" s="82"/>
      <c r="L408" s="69"/>
      <c r="M408" s="69"/>
      <c r="N408" s="69"/>
      <c r="O408" s="69"/>
      <c r="P408" s="79"/>
      <c r="Q408" s="80"/>
      <c r="R408" s="80"/>
      <c r="S408" s="80"/>
      <c r="T408" s="69"/>
      <c r="U408" s="69"/>
      <c r="V408" s="69"/>
      <c r="AA408" s="57"/>
      <c r="AB408" s="57"/>
      <c r="AC408" s="57"/>
      <c r="AD408" s="57"/>
      <c r="AE408" s="57"/>
      <c r="AF408" s="57"/>
      <c r="AG408" s="57"/>
      <c r="AH408" s="57"/>
    </row>
    <row r="409">
      <c r="A409" s="139" t="s">
        <v>1620</v>
      </c>
      <c r="B409" s="155" t="s">
        <v>423</v>
      </c>
      <c r="C409" s="156">
        <v>7696.14</v>
      </c>
      <c r="D409" s="138" t="str">
        <f>HYPERLINK("https://osu.ppy.sh/u/181057","5231_Kinoko")</f>
        <v>5231_Kinoko</v>
      </c>
      <c r="E409" s="44" t="s">
        <v>28</v>
      </c>
      <c r="F409" s="63">
        <v>1000.0</v>
      </c>
      <c r="G409" s="64" t="s">
        <v>29</v>
      </c>
      <c r="H409" s="64" t="s">
        <v>1092</v>
      </c>
      <c r="I409" s="64" t="s">
        <v>421</v>
      </c>
      <c r="J409" s="67" t="s">
        <v>192</v>
      </c>
      <c r="K409" s="115"/>
      <c r="L409" s="44" t="s">
        <v>332</v>
      </c>
      <c r="M409" s="75" t="s">
        <v>1621</v>
      </c>
      <c r="N409" s="75" t="s">
        <v>1248</v>
      </c>
      <c r="O409" s="57"/>
      <c r="P409" s="79"/>
      <c r="Q409" s="147"/>
      <c r="R409" s="147"/>
      <c r="S409" s="147"/>
      <c r="T409" s="57"/>
      <c r="U409" s="75" t="s">
        <v>866</v>
      </c>
      <c r="V409" s="75" t="s">
        <v>74</v>
      </c>
      <c r="Z409" s="45">
        <v>42856.0</v>
      </c>
      <c r="AB409" s="57"/>
      <c r="AC409" s="57"/>
      <c r="AD409" s="57"/>
      <c r="AE409" s="57"/>
      <c r="AF409" s="57"/>
      <c r="AG409" s="57"/>
      <c r="AH409" s="57"/>
    </row>
    <row r="410">
      <c r="A410" s="139" t="s">
        <v>1622</v>
      </c>
      <c r="B410" s="1" t="s">
        <v>1623</v>
      </c>
      <c r="C410" s="33">
        <v>7685.48</v>
      </c>
      <c r="D410" s="34" t="str">
        <f>HYPERLINK("https://osu.ppy.sh/u/11854446","Markrum")</f>
        <v>Markrum</v>
      </c>
      <c r="E410" s="41"/>
      <c r="F410" s="53"/>
      <c r="G410" s="53"/>
      <c r="H410" s="53"/>
      <c r="I410" s="53"/>
      <c r="J410" s="54"/>
      <c r="K410" s="53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Z410" s="45"/>
      <c r="AA410" s="57"/>
      <c r="AB410" s="57"/>
      <c r="AC410" s="57"/>
      <c r="AD410" s="57"/>
      <c r="AE410" s="57"/>
      <c r="AF410" s="57"/>
      <c r="AG410" s="57"/>
      <c r="AH410" s="57"/>
    </row>
    <row r="411">
      <c r="A411" s="139" t="s">
        <v>1624</v>
      </c>
      <c r="B411" s="1" t="s">
        <v>1625</v>
      </c>
      <c r="C411" s="33">
        <v>7676.77</v>
      </c>
      <c r="D411" s="34" t="str">
        <f>HYPERLINK("https://osu.ppy.sh/u/5353550","Taiga Aisaka")</f>
        <v>Taiga Aisaka</v>
      </c>
      <c r="E411" s="61" t="s">
        <v>28</v>
      </c>
      <c r="F411" s="63">
        <v>800.0</v>
      </c>
      <c r="G411" s="64" t="s">
        <v>29</v>
      </c>
      <c r="H411" s="48" t="s">
        <v>67</v>
      </c>
      <c r="I411" s="48" t="s">
        <v>31</v>
      </c>
      <c r="J411" s="67" t="s">
        <v>32</v>
      </c>
      <c r="K411" s="48" t="s">
        <v>33</v>
      </c>
      <c r="L411" s="44" t="s">
        <v>222</v>
      </c>
      <c r="M411" s="55" t="s">
        <v>1626</v>
      </c>
      <c r="N411" s="55" t="s">
        <v>1627</v>
      </c>
      <c r="O411" s="41" t="s">
        <v>121</v>
      </c>
      <c r="P411" s="157">
        <v>49.0</v>
      </c>
      <c r="Q411" s="86">
        <v>116.0</v>
      </c>
      <c r="R411" s="86">
        <v>53.0</v>
      </c>
      <c r="S411" s="86">
        <v>36.0</v>
      </c>
      <c r="T411" s="61" t="s">
        <v>42</v>
      </c>
      <c r="U411" s="55" t="s">
        <v>1628</v>
      </c>
      <c r="V411" s="55" t="s">
        <v>1629</v>
      </c>
      <c r="Z411" s="45">
        <v>44136.0</v>
      </c>
      <c r="AA411" s="57"/>
      <c r="AB411" s="57"/>
      <c r="AC411" s="57"/>
      <c r="AD411" s="57"/>
      <c r="AE411" s="57"/>
      <c r="AF411" s="57"/>
      <c r="AG411" s="57"/>
      <c r="AH411" s="57"/>
    </row>
    <row r="412">
      <c r="A412" s="139" t="s">
        <v>1630</v>
      </c>
      <c r="B412" s="1" t="s">
        <v>1631</v>
      </c>
      <c r="C412" s="33">
        <v>7667.51</v>
      </c>
      <c r="D412" s="34" t="str">
        <f>HYPERLINK("https://osu.ppy.sh/u/9924464","Sordruther")</f>
        <v>Sordruther</v>
      </c>
      <c r="E412" s="52" t="s">
        <v>28</v>
      </c>
      <c r="F412" s="100">
        <v>800.0</v>
      </c>
      <c r="G412" s="48" t="s">
        <v>29</v>
      </c>
      <c r="H412" s="48" t="s">
        <v>424</v>
      </c>
      <c r="I412" s="48" t="s">
        <v>31</v>
      </c>
      <c r="J412" s="38" t="s">
        <v>32</v>
      </c>
      <c r="K412" s="74" t="s">
        <v>33</v>
      </c>
      <c r="L412" s="1" t="s">
        <v>425</v>
      </c>
      <c r="M412" s="40" t="s">
        <v>1632</v>
      </c>
      <c r="N412" s="55" t="s">
        <v>1633</v>
      </c>
      <c r="O412" s="35"/>
      <c r="P412" s="72"/>
      <c r="Q412" s="73"/>
      <c r="R412" s="73"/>
      <c r="S412" s="73"/>
      <c r="T412" s="61"/>
      <c r="U412" s="55" t="s">
        <v>1634</v>
      </c>
      <c r="V412" s="55" t="s">
        <v>74</v>
      </c>
      <c r="Z412" s="45">
        <v>44256.0</v>
      </c>
      <c r="AA412" s="57"/>
      <c r="AB412" s="57"/>
      <c r="AC412" s="57"/>
      <c r="AD412" s="57"/>
      <c r="AE412" s="57"/>
      <c r="AF412" s="57"/>
      <c r="AG412" s="57"/>
      <c r="AH412" s="57"/>
    </row>
    <row r="413">
      <c r="A413" s="139" t="s">
        <v>1635</v>
      </c>
      <c r="B413" s="41" t="s">
        <v>1636</v>
      </c>
      <c r="C413" s="46">
        <v>7655.37</v>
      </c>
      <c r="D413" s="47" t="str">
        <f>HYPERLINK("https://osu.ppy.sh/u/7655120","Perando")</f>
        <v>Perando</v>
      </c>
      <c r="E413" s="52" t="s">
        <v>28</v>
      </c>
      <c r="F413" s="100"/>
      <c r="G413" s="101"/>
      <c r="H413" s="101"/>
      <c r="I413" s="101"/>
      <c r="J413" s="49"/>
      <c r="K413" s="82"/>
      <c r="L413" s="69"/>
      <c r="M413" s="69"/>
      <c r="N413" s="69"/>
      <c r="O413" s="69"/>
      <c r="P413" s="79"/>
      <c r="Q413" s="80"/>
      <c r="R413" s="80"/>
      <c r="S413" s="80"/>
      <c r="T413" s="69"/>
      <c r="U413" s="69"/>
      <c r="V413" s="69"/>
      <c r="AB413" s="57"/>
      <c r="AC413" s="57"/>
      <c r="AD413" s="57"/>
      <c r="AE413" s="57"/>
      <c r="AF413" s="57"/>
      <c r="AG413" s="57"/>
      <c r="AH413" s="57"/>
    </row>
    <row r="414">
      <c r="A414" s="139" t="s">
        <v>1637</v>
      </c>
      <c r="B414" s="1" t="s">
        <v>1638</v>
      </c>
      <c r="C414" s="33">
        <v>7652.1</v>
      </c>
      <c r="D414" s="34" t="str">
        <f>HYPERLINK("https://osu.ppy.sh/u/10567071","- Pop -")</f>
        <v>- Pop -</v>
      </c>
      <c r="E414" s="41"/>
      <c r="F414" s="53"/>
      <c r="G414" s="53"/>
      <c r="H414" s="53"/>
      <c r="I414" s="53"/>
      <c r="J414" s="54"/>
      <c r="K414" s="53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Z414" s="45"/>
      <c r="AA414" s="57"/>
      <c r="AB414" s="57"/>
      <c r="AC414" s="57"/>
      <c r="AD414" s="57"/>
      <c r="AE414" s="57"/>
      <c r="AF414" s="57"/>
      <c r="AG414" s="57"/>
      <c r="AH414" s="57"/>
    </row>
    <row r="415">
      <c r="A415" s="139" t="s">
        <v>1639</v>
      </c>
      <c r="B415" s="41" t="s">
        <v>1640</v>
      </c>
      <c r="C415" s="46">
        <v>7650.82</v>
      </c>
      <c r="D415" s="62" t="str">
        <f>HYPERLINK("https://osu.ppy.sh/u/2930918","Enrix")</f>
        <v>Enrix</v>
      </c>
      <c r="E415" s="52" t="s">
        <v>320</v>
      </c>
      <c r="F415" s="63">
        <v>900.0</v>
      </c>
      <c r="G415" s="65" t="s">
        <v>1641</v>
      </c>
      <c r="H415" s="66" t="s">
        <v>67</v>
      </c>
      <c r="I415" s="48" t="s">
        <v>31</v>
      </c>
      <c r="J415" s="89" t="s">
        <v>192</v>
      </c>
      <c r="K415" s="48" t="s">
        <v>33</v>
      </c>
      <c r="L415" s="52" t="s">
        <v>1642</v>
      </c>
      <c r="M415" s="41" t="s">
        <v>1643</v>
      </c>
      <c r="N415" s="41" t="s">
        <v>1644</v>
      </c>
      <c r="O415" s="1" t="s">
        <v>455</v>
      </c>
      <c r="P415" s="42" t="s">
        <v>1645</v>
      </c>
      <c r="Q415" s="43" t="s">
        <v>175</v>
      </c>
      <c r="R415" s="43" t="s">
        <v>322</v>
      </c>
      <c r="S415" s="43" t="s">
        <v>323</v>
      </c>
      <c r="T415" s="40" t="s">
        <v>42</v>
      </c>
      <c r="U415" s="41" t="s">
        <v>1646</v>
      </c>
      <c r="V415" s="41" t="s">
        <v>1647</v>
      </c>
      <c r="Z415" s="45">
        <v>44105.0</v>
      </c>
      <c r="AB415" s="57"/>
      <c r="AC415" s="57"/>
      <c r="AD415" s="57"/>
      <c r="AE415" s="57"/>
      <c r="AF415" s="57"/>
      <c r="AG415" s="57"/>
      <c r="AH415" s="57"/>
    </row>
    <row r="416">
      <c r="A416" s="139" t="s">
        <v>1648</v>
      </c>
      <c r="B416" s="41" t="s">
        <v>1649</v>
      </c>
      <c r="C416" s="46">
        <v>7642.76</v>
      </c>
      <c r="D416" s="84" t="str">
        <f>HYPERLINK("https://osu.ppy.sh/u/1375606","Kirinya")</f>
        <v>Kirinya</v>
      </c>
      <c r="E416" s="52" t="s">
        <v>28</v>
      </c>
      <c r="F416" s="63">
        <v>900.0</v>
      </c>
      <c r="G416" s="37" t="s">
        <v>29</v>
      </c>
      <c r="H416" s="65" t="s">
        <v>67</v>
      </c>
      <c r="I416" s="65" t="s">
        <v>31</v>
      </c>
      <c r="J416" s="38" t="s">
        <v>32</v>
      </c>
      <c r="K416" s="39">
        <v>500.0</v>
      </c>
      <c r="L416" s="52" t="s">
        <v>848</v>
      </c>
      <c r="M416" s="41" t="s">
        <v>238</v>
      </c>
      <c r="N416" s="41"/>
      <c r="O416" s="35" t="s">
        <v>70</v>
      </c>
      <c r="P416" s="72">
        <v>126.0</v>
      </c>
      <c r="Q416" s="73">
        <v>128.0</v>
      </c>
      <c r="R416" s="73">
        <v>76.0</v>
      </c>
      <c r="S416" s="73">
        <v>42.0</v>
      </c>
      <c r="T416" s="52" t="s">
        <v>42</v>
      </c>
      <c r="U416" s="41" t="s">
        <v>1650</v>
      </c>
      <c r="V416" s="40" t="s">
        <v>1651</v>
      </c>
      <c r="Z416" s="45"/>
      <c r="AB416" s="57"/>
      <c r="AC416" s="57"/>
      <c r="AD416" s="57"/>
      <c r="AE416" s="57"/>
      <c r="AF416" s="57"/>
      <c r="AG416" s="57"/>
      <c r="AH416" s="57"/>
    </row>
    <row r="417">
      <c r="A417" s="139" t="s">
        <v>388</v>
      </c>
      <c r="B417" s="1" t="s">
        <v>1652</v>
      </c>
      <c r="C417" s="33">
        <v>7625.13</v>
      </c>
      <c r="D417" s="34" t="str">
        <f>HYPERLINK("https://osu.ppy.sh/u/4653589","powerpix")</f>
        <v>powerpix</v>
      </c>
      <c r="E417" s="52"/>
      <c r="F417" s="100"/>
      <c r="G417" s="101"/>
      <c r="H417" s="101"/>
      <c r="I417" s="101"/>
      <c r="J417" s="49"/>
      <c r="K417" s="82"/>
      <c r="L417" s="69"/>
      <c r="M417" s="69"/>
      <c r="N417" s="69"/>
      <c r="O417" s="69"/>
      <c r="P417" s="79"/>
      <c r="Q417" s="80"/>
      <c r="R417" s="80"/>
      <c r="S417" s="80"/>
      <c r="T417" s="69"/>
      <c r="U417" s="69"/>
      <c r="V417" s="69"/>
      <c r="AA417" s="57"/>
      <c r="AB417" s="57"/>
      <c r="AC417" s="57"/>
      <c r="AD417" s="57"/>
      <c r="AE417" s="57"/>
      <c r="AF417" s="57"/>
      <c r="AG417" s="57"/>
      <c r="AH417" s="57"/>
    </row>
    <row r="418">
      <c r="A418" s="139" t="s">
        <v>1653</v>
      </c>
      <c r="B418" s="41" t="s">
        <v>1654</v>
      </c>
      <c r="C418" s="46">
        <v>7619.49</v>
      </c>
      <c r="D418" s="47" t="str">
        <f>HYPERLINK("https://osu.ppy.sh/u/2555859","Sykon")</f>
        <v>Sykon</v>
      </c>
      <c r="E418" s="52" t="s">
        <v>28</v>
      </c>
      <c r="F418" s="58" t="s">
        <v>105</v>
      </c>
      <c r="G418" s="48" t="s">
        <v>29</v>
      </c>
      <c r="H418" s="48" t="s">
        <v>1655</v>
      </c>
      <c r="I418" s="48" t="s">
        <v>267</v>
      </c>
      <c r="J418" s="59" t="s">
        <v>32</v>
      </c>
      <c r="K418" s="74" t="s">
        <v>33</v>
      </c>
      <c r="L418" s="1" t="s">
        <v>953</v>
      </c>
      <c r="M418" s="1" t="s">
        <v>1656</v>
      </c>
      <c r="N418" s="1" t="s">
        <v>61</v>
      </c>
      <c r="O418" s="35" t="s">
        <v>201</v>
      </c>
      <c r="P418" s="72">
        <v>103.0</v>
      </c>
      <c r="Q418" s="73">
        <v>136.0</v>
      </c>
      <c r="R418" s="73">
        <v>72.0</v>
      </c>
      <c r="S418" s="73">
        <v>41.0</v>
      </c>
      <c r="T418" s="61" t="s">
        <v>42</v>
      </c>
      <c r="U418" s="1" t="s">
        <v>333</v>
      </c>
      <c r="V418" s="1" t="s">
        <v>203</v>
      </c>
      <c r="Z418" s="45"/>
      <c r="AB418" s="57"/>
      <c r="AC418" s="57"/>
      <c r="AD418" s="57"/>
      <c r="AE418" s="57"/>
      <c r="AF418" s="57"/>
      <c r="AG418" s="57"/>
      <c r="AH418" s="57"/>
    </row>
    <row r="419">
      <c r="A419" s="139" t="s">
        <v>1657</v>
      </c>
      <c r="B419" s="1" t="s">
        <v>1658</v>
      </c>
      <c r="C419" s="33">
        <v>7608.37</v>
      </c>
      <c r="D419" s="34" t="str">
        <f>HYPERLINK("https://osu.ppy.sh/u/7286850","Iambosszie")</f>
        <v>Iambosszie</v>
      </c>
      <c r="E419" s="61" t="s">
        <v>28</v>
      </c>
      <c r="F419" s="48" t="s">
        <v>105</v>
      </c>
      <c r="G419" s="48" t="s">
        <v>29</v>
      </c>
      <c r="H419" s="48" t="s">
        <v>67</v>
      </c>
      <c r="I419" s="48" t="s">
        <v>267</v>
      </c>
      <c r="J419" s="59" t="s">
        <v>32</v>
      </c>
      <c r="K419" s="1" t="s">
        <v>33</v>
      </c>
      <c r="L419" s="1" t="s">
        <v>129</v>
      </c>
      <c r="M419" s="1" t="s">
        <v>108</v>
      </c>
      <c r="N419" s="1" t="s">
        <v>1659</v>
      </c>
      <c r="O419" s="1" t="s">
        <v>109</v>
      </c>
      <c r="P419" s="85" t="s">
        <v>110</v>
      </c>
      <c r="Q419" s="86" t="s">
        <v>39</v>
      </c>
      <c r="R419" s="87" t="s">
        <v>72</v>
      </c>
      <c r="S419" s="87" t="s">
        <v>41</v>
      </c>
      <c r="T419" s="48" t="s">
        <v>42</v>
      </c>
      <c r="U419" s="1" t="s">
        <v>1660</v>
      </c>
      <c r="V419" s="1" t="s">
        <v>1661</v>
      </c>
      <c r="Z419" s="45">
        <v>43282.0</v>
      </c>
      <c r="AB419" s="57"/>
      <c r="AC419" s="57"/>
      <c r="AD419" s="57"/>
      <c r="AE419" s="57"/>
      <c r="AF419" s="57"/>
      <c r="AG419" s="57"/>
      <c r="AH419" s="57"/>
    </row>
    <row r="420">
      <c r="A420" s="139" t="s">
        <v>393</v>
      </c>
      <c r="B420" s="1" t="s">
        <v>1662</v>
      </c>
      <c r="C420" s="33">
        <v>7602.17</v>
      </c>
      <c r="D420" s="34" t="str">
        <f>HYPERLINK("https://osu.ppy.sh/u/6068934","Jabba")</f>
        <v>Jabba</v>
      </c>
      <c r="E420" s="52" t="s">
        <v>28</v>
      </c>
      <c r="F420" s="100"/>
      <c r="G420" s="101"/>
      <c r="H420" s="101"/>
      <c r="I420" s="101"/>
      <c r="J420" s="49"/>
      <c r="K420" s="82"/>
      <c r="L420" s="69"/>
      <c r="M420" s="69"/>
      <c r="N420" s="69"/>
      <c r="O420" s="69"/>
      <c r="P420" s="79"/>
      <c r="Q420" s="80"/>
      <c r="R420" s="80"/>
      <c r="S420" s="80"/>
      <c r="T420" s="69"/>
      <c r="U420" s="69"/>
      <c r="V420" s="69"/>
      <c r="AB420" s="57"/>
      <c r="AC420" s="57"/>
      <c r="AD420" s="57"/>
      <c r="AE420" s="57"/>
      <c r="AF420" s="57"/>
      <c r="AG420" s="57"/>
      <c r="AH420" s="57"/>
    </row>
    <row r="421">
      <c r="A421" s="139" t="s">
        <v>1663</v>
      </c>
      <c r="B421" s="41" t="s">
        <v>1664</v>
      </c>
      <c r="C421" s="46">
        <v>7589.89</v>
      </c>
      <c r="D421" s="62" t="str">
        <f>HYPERLINK("https://osu.ppy.sh/u/1926383","Chupalika")</f>
        <v>Chupalika</v>
      </c>
      <c r="E421" s="61" t="s">
        <v>28</v>
      </c>
      <c r="F421" s="63">
        <v>800.0</v>
      </c>
      <c r="G421" s="66" t="s">
        <v>78</v>
      </c>
      <c r="H421" s="101"/>
      <c r="I421" s="66" t="s">
        <v>421</v>
      </c>
      <c r="J421" s="49"/>
      <c r="K421" s="82"/>
      <c r="L421" s="61" t="s">
        <v>1665</v>
      </c>
      <c r="M421" s="35" t="s">
        <v>1188</v>
      </c>
      <c r="N421" s="131"/>
      <c r="O421" s="131" t="s">
        <v>1189</v>
      </c>
      <c r="P421" s="132">
        <v>120.0</v>
      </c>
      <c r="Q421" s="92">
        <v>124.0</v>
      </c>
      <c r="R421" s="92">
        <v>69.0</v>
      </c>
      <c r="S421" s="92">
        <v>40.0</v>
      </c>
      <c r="T421" s="52" t="s">
        <v>1190</v>
      </c>
      <c r="U421" s="35" t="s">
        <v>1666</v>
      </c>
      <c r="V421" s="35" t="s">
        <v>94</v>
      </c>
      <c r="AB421" s="57"/>
      <c r="AC421" s="57"/>
      <c r="AD421" s="57"/>
      <c r="AE421" s="57"/>
      <c r="AF421" s="57"/>
      <c r="AG421" s="57"/>
      <c r="AH421" s="57"/>
    </row>
    <row r="422">
      <c r="A422" s="139" t="s">
        <v>400</v>
      </c>
      <c r="B422" s="111" t="s">
        <v>423</v>
      </c>
      <c r="C422" s="112">
        <v>7588.09</v>
      </c>
      <c r="D422" s="113" t="str">
        <f>HYPERLINK("https://osu.ppy.sh/u/317494","Mikkuri")</f>
        <v>Mikkuri</v>
      </c>
      <c r="E422" s="41" t="s">
        <v>28</v>
      </c>
      <c r="G422" s="53"/>
      <c r="I422" s="53"/>
      <c r="J422" s="54"/>
      <c r="AB422" s="57"/>
      <c r="AC422" s="57"/>
      <c r="AD422" s="57"/>
      <c r="AE422" s="57"/>
      <c r="AF422" s="57"/>
      <c r="AG422" s="57"/>
      <c r="AH422" s="57"/>
    </row>
    <row r="423">
      <c r="A423" s="139" t="s">
        <v>1667</v>
      </c>
      <c r="B423" s="41" t="s">
        <v>1668</v>
      </c>
      <c r="C423" s="46">
        <v>7578.77</v>
      </c>
      <c r="D423" s="47" t="str">
        <f>HYPERLINK("https://osu.ppy.sh/u/4183988","Zxcy")</f>
        <v>Zxcy</v>
      </c>
      <c r="E423" s="52" t="s">
        <v>28</v>
      </c>
      <c r="F423" s="100"/>
      <c r="G423" s="101"/>
      <c r="H423" s="101"/>
      <c r="I423" s="101"/>
      <c r="J423" s="49"/>
      <c r="K423" s="82"/>
      <c r="L423" s="69"/>
      <c r="M423" s="69"/>
      <c r="N423" s="69"/>
      <c r="O423" s="69"/>
      <c r="P423" s="79"/>
      <c r="Q423" s="80"/>
      <c r="R423" s="80"/>
      <c r="S423" s="80"/>
      <c r="T423" s="69"/>
      <c r="U423" s="69"/>
      <c r="V423" s="69"/>
      <c r="AB423" s="57"/>
      <c r="AC423" s="57"/>
      <c r="AD423" s="57"/>
      <c r="AE423" s="57"/>
      <c r="AF423" s="57"/>
      <c r="AG423" s="57"/>
      <c r="AH423" s="57"/>
    </row>
    <row r="424">
      <c r="A424" s="139" t="s">
        <v>1669</v>
      </c>
      <c r="B424" s="41" t="s">
        <v>1670</v>
      </c>
      <c r="C424" s="46">
        <v>7573.96</v>
      </c>
      <c r="D424" s="47" t="str">
        <f>HYPERLINK("https://osu.ppy.sh/u/4660131","Phazyy")</f>
        <v>Phazyy</v>
      </c>
      <c r="E424" s="52" t="s">
        <v>28</v>
      </c>
      <c r="F424" s="100"/>
      <c r="G424" s="101"/>
      <c r="H424" s="101"/>
      <c r="I424" s="101"/>
      <c r="J424" s="49"/>
      <c r="K424" s="82"/>
      <c r="L424" s="69"/>
      <c r="M424" s="69"/>
      <c r="N424" s="69"/>
      <c r="O424" s="69"/>
      <c r="P424" s="79"/>
      <c r="Q424" s="80"/>
      <c r="R424" s="80"/>
      <c r="S424" s="80"/>
      <c r="T424" s="69"/>
      <c r="U424" s="69"/>
      <c r="V424" s="69"/>
      <c r="AB424" s="57"/>
      <c r="AC424" s="57"/>
      <c r="AD424" s="57"/>
      <c r="AE424" s="57"/>
      <c r="AF424" s="57"/>
      <c r="AG424" s="57"/>
      <c r="AH424" s="57"/>
    </row>
    <row r="425">
      <c r="A425" s="139" t="s">
        <v>1671</v>
      </c>
      <c r="B425" s="41" t="s">
        <v>1672</v>
      </c>
      <c r="C425" s="46">
        <v>7567.6</v>
      </c>
      <c r="D425" s="47" t="str">
        <f>HYPERLINK("https://osu.ppy.sh/u/6575153","Schwarze")</f>
        <v>Schwarze</v>
      </c>
      <c r="E425" s="1" t="s">
        <v>28</v>
      </c>
      <c r="F425" s="158">
        <v>1000.0</v>
      </c>
      <c r="G425" s="48" t="s">
        <v>78</v>
      </c>
      <c r="H425" s="48" t="s">
        <v>403</v>
      </c>
      <c r="I425" s="48" t="s">
        <v>106</v>
      </c>
      <c r="J425" s="59" t="s">
        <v>32</v>
      </c>
      <c r="K425" s="152"/>
      <c r="M425" s="1" t="s">
        <v>1009</v>
      </c>
      <c r="N425" s="1" t="s">
        <v>1673</v>
      </c>
      <c r="O425" s="55" t="s">
        <v>1010</v>
      </c>
      <c r="P425" s="48" t="s">
        <v>166</v>
      </c>
      <c r="Q425" s="48" t="s">
        <v>1574</v>
      </c>
      <c r="R425" s="48" t="s">
        <v>1012</v>
      </c>
      <c r="S425" s="48" t="s">
        <v>87</v>
      </c>
      <c r="T425" s="40" t="s">
        <v>42</v>
      </c>
      <c r="U425" s="1" t="s">
        <v>62</v>
      </c>
      <c r="AA425" s="57"/>
      <c r="AB425" s="57"/>
      <c r="AC425" s="57"/>
      <c r="AD425" s="57"/>
      <c r="AE425" s="57"/>
      <c r="AF425" s="57"/>
      <c r="AG425" s="57"/>
      <c r="AH425" s="57"/>
    </row>
    <row r="426">
      <c r="A426" s="139" t="s">
        <v>1674</v>
      </c>
      <c r="B426" s="1" t="s">
        <v>1675</v>
      </c>
      <c r="C426" s="33">
        <v>7550.64</v>
      </c>
      <c r="D426" s="34" t="str">
        <f>HYPERLINK("https://osu.ppy.sh/u/3735705","Frikandel")</f>
        <v>Frikandel</v>
      </c>
      <c r="E426" s="52" t="s">
        <v>28</v>
      </c>
      <c r="F426" s="58" t="s">
        <v>105</v>
      </c>
      <c r="G426" s="48" t="s">
        <v>29</v>
      </c>
      <c r="H426" s="48" t="s">
        <v>67</v>
      </c>
      <c r="I426" s="48" t="s">
        <v>31</v>
      </c>
      <c r="J426" s="59" t="s">
        <v>32</v>
      </c>
      <c r="K426" s="74" t="s">
        <v>81</v>
      </c>
      <c r="M426" s="35" t="s">
        <v>485</v>
      </c>
      <c r="N426" s="40" t="s">
        <v>696</v>
      </c>
      <c r="O426" s="35" t="s">
        <v>52</v>
      </c>
      <c r="P426" s="72">
        <v>130.0</v>
      </c>
      <c r="Q426" s="73">
        <v>133.0</v>
      </c>
      <c r="R426" s="73">
        <v>70.0</v>
      </c>
      <c r="S426" s="73">
        <v>46.0</v>
      </c>
      <c r="T426" s="61" t="s">
        <v>218</v>
      </c>
      <c r="U426" s="1" t="s">
        <v>117</v>
      </c>
      <c r="V426" s="1" t="s">
        <v>74</v>
      </c>
      <c r="Z426" s="45">
        <v>43132.0</v>
      </c>
      <c r="AB426" s="57"/>
      <c r="AC426" s="57"/>
      <c r="AD426" s="57"/>
      <c r="AE426" s="57"/>
      <c r="AF426" s="57"/>
      <c r="AG426" s="57"/>
      <c r="AH426" s="57"/>
    </row>
    <row r="427">
      <c r="A427" s="139" t="s">
        <v>410</v>
      </c>
      <c r="B427" s="1" t="s">
        <v>1676</v>
      </c>
      <c r="C427" s="33">
        <v>7547.69</v>
      </c>
      <c r="D427" s="94" t="str">
        <f>HYPERLINK("https://osu.ppy.sh/u/3401205","Voided")</f>
        <v>Voided</v>
      </c>
      <c r="E427" s="1" t="s">
        <v>28</v>
      </c>
      <c r="F427" s="48" t="s">
        <v>105</v>
      </c>
      <c r="H427" s="48" t="s">
        <v>67</v>
      </c>
      <c r="I427" s="48" t="s">
        <v>31</v>
      </c>
      <c r="J427" s="59" t="s">
        <v>32</v>
      </c>
      <c r="K427" s="48" t="s">
        <v>33</v>
      </c>
      <c r="M427" s="1" t="s">
        <v>1677</v>
      </c>
      <c r="N427" s="1" t="s">
        <v>1678</v>
      </c>
      <c r="U427" s="1" t="s">
        <v>1679</v>
      </c>
      <c r="V427" s="1" t="s">
        <v>1680</v>
      </c>
      <c r="AB427" s="57"/>
      <c r="AC427" s="57"/>
      <c r="AD427" s="57"/>
      <c r="AE427" s="57"/>
      <c r="AF427" s="57"/>
      <c r="AG427" s="57"/>
      <c r="AH427" s="57"/>
    </row>
    <row r="428">
      <c r="A428" s="139" t="s">
        <v>414</v>
      </c>
      <c r="B428" s="1" t="s">
        <v>1681</v>
      </c>
      <c r="C428" s="33">
        <v>7535.68</v>
      </c>
      <c r="D428" s="34" t="str">
        <f>HYPERLINK("https://osu.ppy.sh/u/9459547","Sergo")</f>
        <v>Sergo</v>
      </c>
      <c r="E428" s="52" t="s">
        <v>28</v>
      </c>
      <c r="F428" s="48"/>
      <c r="G428" s="37"/>
      <c r="H428" s="48"/>
      <c r="I428" s="48"/>
      <c r="J428" s="59"/>
      <c r="K428" s="53"/>
      <c r="L428" s="1"/>
      <c r="M428" s="40"/>
      <c r="N428" s="56"/>
      <c r="O428" s="35"/>
      <c r="P428" s="72"/>
      <c r="Q428" s="73"/>
      <c r="R428" s="73"/>
      <c r="S428" s="73"/>
      <c r="T428" s="61"/>
      <c r="U428" s="55"/>
      <c r="V428" s="55"/>
      <c r="Z428" s="45"/>
      <c r="AA428" s="57"/>
      <c r="AB428" s="57"/>
      <c r="AC428" s="57"/>
      <c r="AD428" s="57"/>
      <c r="AE428" s="57"/>
      <c r="AF428" s="57"/>
      <c r="AG428" s="57"/>
      <c r="AH428" s="57"/>
    </row>
    <row r="429">
      <c r="A429" s="139" t="s">
        <v>1682</v>
      </c>
      <c r="B429" s="41" t="s">
        <v>1683</v>
      </c>
      <c r="C429" s="46">
        <v>7526.67</v>
      </c>
      <c r="D429" s="62" t="str">
        <f>HYPERLINK("https://osu.ppy.sh/u/398097","ZRush")</f>
        <v>ZRush</v>
      </c>
      <c r="E429" s="61" t="s">
        <v>28</v>
      </c>
      <c r="F429" s="63">
        <v>1200.0</v>
      </c>
      <c r="G429" s="64" t="s">
        <v>29</v>
      </c>
      <c r="H429" s="64" t="s">
        <v>97</v>
      </c>
      <c r="I429" s="64" t="s">
        <v>421</v>
      </c>
      <c r="J429" s="67" t="s">
        <v>32</v>
      </c>
      <c r="K429" s="82"/>
      <c r="L429" s="44" t="s">
        <v>1684</v>
      </c>
      <c r="M429" s="57"/>
      <c r="N429" s="57"/>
      <c r="O429" s="57"/>
      <c r="P429" s="79"/>
      <c r="Q429" s="80"/>
      <c r="R429" s="80"/>
      <c r="S429" s="80"/>
      <c r="T429" s="57"/>
      <c r="U429" s="75" t="s">
        <v>117</v>
      </c>
      <c r="V429" s="75" t="s">
        <v>89</v>
      </c>
      <c r="AB429" s="57"/>
      <c r="AC429" s="57"/>
      <c r="AD429" s="57"/>
      <c r="AE429" s="57"/>
      <c r="AF429" s="57"/>
      <c r="AG429" s="57"/>
      <c r="AH429" s="57"/>
    </row>
    <row r="430">
      <c r="A430" s="139" t="s">
        <v>1685</v>
      </c>
      <c r="B430" s="41" t="s">
        <v>1686</v>
      </c>
      <c r="C430" s="46">
        <v>7525.24</v>
      </c>
      <c r="D430" s="116" t="str">
        <f>HYPERLINK("https://osu.ppy.sh/u/3176668","Penguin")</f>
        <v>Penguin</v>
      </c>
      <c r="E430" s="41" t="s">
        <v>28</v>
      </c>
      <c r="F430" s="48" t="s">
        <v>47</v>
      </c>
      <c r="G430" s="48" t="s">
        <v>29</v>
      </c>
      <c r="H430" s="48" t="s">
        <v>1687</v>
      </c>
      <c r="I430" s="48" t="s">
        <v>31</v>
      </c>
      <c r="J430" s="59" t="s">
        <v>32</v>
      </c>
      <c r="K430" s="48" t="s">
        <v>33</v>
      </c>
      <c r="L430" s="1" t="s">
        <v>484</v>
      </c>
      <c r="M430" s="1" t="s">
        <v>69</v>
      </c>
      <c r="N430" s="1" t="s">
        <v>407</v>
      </c>
      <c r="O430" s="40" t="s">
        <v>70</v>
      </c>
      <c r="P430" s="42" t="s">
        <v>71</v>
      </c>
      <c r="Q430" s="43" t="s">
        <v>39</v>
      </c>
      <c r="R430" s="43" t="s">
        <v>72</v>
      </c>
      <c r="S430" s="43" t="s">
        <v>41</v>
      </c>
      <c r="T430" s="61" t="s">
        <v>42</v>
      </c>
      <c r="U430" s="1" t="s">
        <v>1688</v>
      </c>
      <c r="V430" s="1" t="s">
        <v>1689</v>
      </c>
      <c r="Z430" s="45">
        <v>43739.0</v>
      </c>
      <c r="AB430" s="57"/>
      <c r="AC430" s="57"/>
      <c r="AD430" s="57"/>
      <c r="AE430" s="57"/>
      <c r="AF430" s="57"/>
      <c r="AG430" s="57"/>
      <c r="AH430" s="57"/>
    </row>
    <row r="431">
      <c r="A431" s="139" t="s">
        <v>1690</v>
      </c>
      <c r="B431" s="41" t="s">
        <v>1691</v>
      </c>
      <c r="C431" s="46">
        <v>7522.31</v>
      </c>
      <c r="D431" s="83" t="str">
        <f>HYPERLINK("https://osu.ppy.sh/u/7672046","-kyo")</f>
        <v>-kyo</v>
      </c>
      <c r="E431" s="52" t="s">
        <v>28</v>
      </c>
      <c r="F431" s="36">
        <v>1900.0</v>
      </c>
      <c r="G431" s="37"/>
      <c r="H431" s="37" t="s">
        <v>67</v>
      </c>
      <c r="I431" s="37"/>
      <c r="J431" s="38"/>
      <c r="K431" s="82"/>
      <c r="L431" s="57"/>
      <c r="M431" s="40" t="s">
        <v>473</v>
      </c>
      <c r="N431" s="40"/>
      <c r="O431" s="57"/>
      <c r="P431" s="42"/>
      <c r="Q431" s="43"/>
      <c r="R431" s="43"/>
      <c r="S431" s="43"/>
      <c r="T431" s="57"/>
      <c r="U431" s="40" t="s">
        <v>1692</v>
      </c>
      <c r="V431" s="40" t="s">
        <v>1693</v>
      </c>
      <c r="Z431" s="45"/>
      <c r="AB431" s="57"/>
      <c r="AC431" s="57"/>
      <c r="AD431" s="57"/>
      <c r="AE431" s="57"/>
      <c r="AF431" s="57"/>
      <c r="AG431" s="57"/>
      <c r="AH431" s="57"/>
    </row>
    <row r="432">
      <c r="A432" s="139" t="s">
        <v>1694</v>
      </c>
      <c r="B432" s="1" t="s">
        <v>1695</v>
      </c>
      <c r="C432" s="33">
        <v>7521.99</v>
      </c>
      <c r="D432" s="34" t="str">
        <f>HYPERLINK("https://osu.ppy.sh/u/14263970","edbones")</f>
        <v>edbones</v>
      </c>
      <c r="E432" s="52" t="s">
        <v>28</v>
      </c>
      <c r="F432" s="48" t="s">
        <v>206</v>
      </c>
      <c r="G432" s="37" t="s">
        <v>29</v>
      </c>
      <c r="H432" s="48" t="s">
        <v>67</v>
      </c>
      <c r="I432" s="48" t="s">
        <v>31</v>
      </c>
      <c r="J432" s="59" t="s">
        <v>32</v>
      </c>
      <c r="K432" s="48" t="s">
        <v>33</v>
      </c>
      <c r="L432" s="1" t="s">
        <v>207</v>
      </c>
      <c r="M432" s="40" t="s">
        <v>892</v>
      </c>
      <c r="N432" s="55" t="s">
        <v>179</v>
      </c>
      <c r="O432" s="41" t="s">
        <v>894</v>
      </c>
      <c r="P432" s="72" t="s">
        <v>895</v>
      </c>
      <c r="Q432" s="73" t="s">
        <v>367</v>
      </c>
      <c r="R432" s="73" t="s">
        <v>896</v>
      </c>
      <c r="S432" s="73" t="s">
        <v>41</v>
      </c>
      <c r="T432" s="52" t="s">
        <v>897</v>
      </c>
      <c r="U432" s="55" t="s">
        <v>1696</v>
      </c>
      <c r="V432" s="55" t="s">
        <v>89</v>
      </c>
      <c r="Z432" s="45">
        <v>44228.0</v>
      </c>
      <c r="AA432" s="57"/>
      <c r="AB432" s="57"/>
      <c r="AC432" s="57"/>
      <c r="AD432" s="57"/>
      <c r="AE432" s="57"/>
      <c r="AF432" s="57"/>
      <c r="AG432" s="57"/>
      <c r="AH432" s="57"/>
    </row>
    <row r="433">
      <c r="A433" s="139" t="s">
        <v>1697</v>
      </c>
      <c r="B433" s="41" t="s">
        <v>1698</v>
      </c>
      <c r="C433" s="46">
        <v>7519.2</v>
      </c>
      <c r="D433" s="47" t="str">
        <f>HYPERLINK("https://osu.ppy.sh/u/11905591","mitch_-")</f>
        <v>mitch_-</v>
      </c>
      <c r="E433" s="52" t="s">
        <v>28</v>
      </c>
      <c r="F433" s="58" t="s">
        <v>105</v>
      </c>
      <c r="G433" s="48" t="s">
        <v>29</v>
      </c>
      <c r="H433" s="66" t="s">
        <v>67</v>
      </c>
      <c r="I433" s="37" t="s">
        <v>1699</v>
      </c>
      <c r="J433" s="70" t="s">
        <v>32</v>
      </c>
      <c r="K433" s="48" t="s">
        <v>33</v>
      </c>
      <c r="L433" s="40" t="s">
        <v>484</v>
      </c>
      <c r="M433" s="40" t="s">
        <v>1700</v>
      </c>
      <c r="N433" s="1" t="s">
        <v>61</v>
      </c>
      <c r="O433" s="1" t="s">
        <v>701</v>
      </c>
      <c r="P433" s="42">
        <v>83.0</v>
      </c>
      <c r="Q433" s="43">
        <v>126.0</v>
      </c>
      <c r="R433" s="43">
        <v>68.0</v>
      </c>
      <c r="S433" s="43">
        <v>39.0</v>
      </c>
      <c r="T433" s="40" t="s">
        <v>42</v>
      </c>
      <c r="U433" s="40" t="s">
        <v>1701</v>
      </c>
      <c r="V433" s="69"/>
      <c r="Z433" s="45">
        <v>44136.0</v>
      </c>
      <c r="AA433" s="57"/>
      <c r="AB433" s="57"/>
      <c r="AC433" s="57"/>
      <c r="AD433" s="57"/>
      <c r="AE433" s="57"/>
      <c r="AF433" s="57"/>
      <c r="AG433" s="57"/>
      <c r="AH433" s="57"/>
    </row>
    <row r="434">
      <c r="A434" s="139" t="s">
        <v>1702</v>
      </c>
      <c r="B434" s="41" t="s">
        <v>1703</v>
      </c>
      <c r="C434" s="46">
        <v>7511.92</v>
      </c>
      <c r="D434" s="84" t="str">
        <f>HYPERLINK("https://osu.ppy.sh/u/2003917","Cozzzy")</f>
        <v>Cozzzy</v>
      </c>
      <c r="E434" s="52" t="s">
        <v>372</v>
      </c>
      <c r="F434" s="58" t="s">
        <v>1704</v>
      </c>
      <c r="G434" s="48" t="s">
        <v>29</v>
      </c>
      <c r="H434" s="48" t="s">
        <v>67</v>
      </c>
      <c r="I434" s="48" t="s">
        <v>31</v>
      </c>
      <c r="J434" s="59" t="s">
        <v>32</v>
      </c>
      <c r="K434" s="74" t="s">
        <v>81</v>
      </c>
      <c r="L434" s="1" t="s">
        <v>1377</v>
      </c>
      <c r="M434" s="1" t="s">
        <v>199</v>
      </c>
      <c r="N434" s="1" t="s">
        <v>179</v>
      </c>
      <c r="O434" s="35" t="s">
        <v>201</v>
      </c>
      <c r="P434" s="72">
        <v>103.0</v>
      </c>
      <c r="Q434" s="73">
        <v>136.0</v>
      </c>
      <c r="R434" s="73">
        <v>72.0</v>
      </c>
      <c r="S434" s="73">
        <v>41.0</v>
      </c>
      <c r="T434" s="61" t="s">
        <v>42</v>
      </c>
      <c r="U434" s="1" t="s">
        <v>1705</v>
      </c>
      <c r="V434" s="1" t="s">
        <v>89</v>
      </c>
      <c r="Z434" s="45">
        <v>43101.0</v>
      </c>
      <c r="AA434" s="57"/>
      <c r="AB434" s="57"/>
      <c r="AC434" s="57"/>
      <c r="AD434" s="57"/>
      <c r="AE434" s="57"/>
      <c r="AF434" s="57"/>
      <c r="AG434" s="57"/>
      <c r="AH434" s="57"/>
    </row>
    <row r="435">
      <c r="A435" s="139" t="s">
        <v>1706</v>
      </c>
      <c r="B435" s="1" t="s">
        <v>1707</v>
      </c>
      <c r="C435" s="33">
        <v>7505.21</v>
      </c>
      <c r="D435" s="34" t="str">
        <f>HYPERLINK("https://osu.ppy.sh/u/10795296","krb")</f>
        <v>krb</v>
      </c>
      <c r="E435" s="52" t="s">
        <v>28</v>
      </c>
      <c r="F435" s="48" t="s">
        <v>1708</v>
      </c>
      <c r="G435" s="48" t="s">
        <v>29</v>
      </c>
      <c r="H435" s="48" t="s">
        <v>67</v>
      </c>
      <c r="I435" s="48" t="s">
        <v>31</v>
      </c>
      <c r="J435" s="59" t="s">
        <v>32</v>
      </c>
      <c r="K435" s="74" t="s">
        <v>33</v>
      </c>
      <c r="L435" s="1" t="s">
        <v>1111</v>
      </c>
      <c r="M435" s="55" t="s">
        <v>892</v>
      </c>
      <c r="N435" s="55" t="s">
        <v>179</v>
      </c>
      <c r="O435" s="41" t="s">
        <v>894</v>
      </c>
      <c r="P435" s="72" t="s">
        <v>895</v>
      </c>
      <c r="Q435" s="73" t="s">
        <v>367</v>
      </c>
      <c r="R435" s="73" t="s">
        <v>896</v>
      </c>
      <c r="S435" s="73" t="s">
        <v>41</v>
      </c>
      <c r="T435" s="52" t="s">
        <v>897</v>
      </c>
      <c r="U435" s="55" t="s">
        <v>252</v>
      </c>
      <c r="V435" s="55" t="s">
        <v>74</v>
      </c>
      <c r="Z435" s="45">
        <v>43983.0</v>
      </c>
      <c r="AA435" s="57"/>
      <c r="AB435" s="57"/>
      <c r="AC435" s="57"/>
      <c r="AD435" s="57"/>
      <c r="AE435" s="57"/>
      <c r="AF435" s="57"/>
      <c r="AG435" s="57"/>
      <c r="AH435" s="57"/>
    </row>
    <row r="436">
      <c r="A436" s="139" t="s">
        <v>1709</v>
      </c>
      <c r="B436" s="41" t="s">
        <v>1710</v>
      </c>
      <c r="C436" s="46">
        <v>7491.08</v>
      </c>
      <c r="D436" s="47" t="str">
        <f>HYPERLINK("https://osu.ppy.sh/u/6360283","TsakoZ")</f>
        <v>TsakoZ</v>
      </c>
      <c r="E436" s="52" t="s">
        <v>28</v>
      </c>
      <c r="F436" s="109"/>
      <c r="G436" s="53"/>
      <c r="H436" s="53"/>
      <c r="I436" s="53"/>
      <c r="J436" s="54"/>
      <c r="K436" s="60"/>
      <c r="P436" s="91"/>
      <c r="Q436" s="92"/>
      <c r="R436" s="92"/>
      <c r="S436" s="92"/>
      <c r="Z436" s="45"/>
      <c r="AB436" s="57"/>
      <c r="AC436" s="57"/>
      <c r="AD436" s="57"/>
      <c r="AE436" s="57"/>
      <c r="AF436" s="57"/>
      <c r="AG436" s="57"/>
      <c r="AH436" s="57"/>
    </row>
    <row r="437">
      <c r="A437" s="139" t="s">
        <v>1711</v>
      </c>
      <c r="B437" s="1" t="s">
        <v>1712</v>
      </c>
      <c r="C437" s="33">
        <v>7489.45</v>
      </c>
      <c r="D437" s="34" t="str">
        <f>HYPERLINK("https://osu.ppy.sh/u/6791549","hot girl")</f>
        <v>hot girl</v>
      </c>
      <c r="E437" s="55" t="s">
        <v>28</v>
      </c>
      <c r="F437" s="58" t="s">
        <v>77</v>
      </c>
      <c r="G437" s="48" t="s">
        <v>29</v>
      </c>
      <c r="H437" s="48" t="s">
        <v>67</v>
      </c>
      <c r="I437" s="48" t="s">
        <v>31</v>
      </c>
      <c r="J437" s="59" t="s">
        <v>32</v>
      </c>
      <c r="K437" s="74" t="s">
        <v>33</v>
      </c>
      <c r="L437" s="55" t="s">
        <v>417</v>
      </c>
      <c r="M437" s="1" t="s">
        <v>108</v>
      </c>
      <c r="N437" s="1" t="s">
        <v>1713</v>
      </c>
      <c r="O437" s="1" t="s">
        <v>109</v>
      </c>
      <c r="P437" s="85" t="s">
        <v>110</v>
      </c>
      <c r="Q437" s="86" t="s">
        <v>39</v>
      </c>
      <c r="R437" s="87" t="s">
        <v>72</v>
      </c>
      <c r="S437" s="87" t="s">
        <v>41</v>
      </c>
      <c r="T437" s="48" t="s">
        <v>42</v>
      </c>
      <c r="U437" s="55" t="s">
        <v>1191</v>
      </c>
      <c r="V437" s="1" t="s">
        <v>74</v>
      </c>
      <c r="AB437" s="57"/>
      <c r="AC437" s="57"/>
      <c r="AD437" s="57"/>
      <c r="AE437" s="57"/>
      <c r="AF437" s="57"/>
      <c r="AG437" s="57"/>
      <c r="AH437" s="57"/>
    </row>
    <row r="438">
      <c r="A438" s="139" t="s">
        <v>1714</v>
      </c>
      <c r="B438" s="1" t="s">
        <v>1715</v>
      </c>
      <c r="C438" s="33">
        <v>7485.48</v>
      </c>
      <c r="D438" s="34" t="str">
        <f>HYPERLINK("https://osu.ppy.sh/u/3871121","yumesaki-hikari")</f>
        <v>yumesaki-hikari</v>
      </c>
      <c r="E438" s="52"/>
      <c r="F438" s="100"/>
      <c r="G438" s="101"/>
      <c r="H438" s="101"/>
      <c r="I438" s="101"/>
      <c r="J438" s="49"/>
      <c r="K438" s="82"/>
      <c r="L438" s="69"/>
      <c r="M438" s="69"/>
      <c r="N438" s="69"/>
      <c r="O438" s="69"/>
      <c r="P438" s="79"/>
      <c r="Q438" s="80"/>
      <c r="R438" s="80"/>
      <c r="S438" s="80"/>
      <c r="T438" s="69"/>
      <c r="U438" s="69"/>
      <c r="V438" s="69"/>
      <c r="AA438" s="57"/>
      <c r="AB438" s="57"/>
      <c r="AC438" s="57"/>
      <c r="AD438" s="57"/>
      <c r="AE438" s="57"/>
      <c r="AF438" s="57"/>
      <c r="AG438" s="57"/>
      <c r="AH438" s="57"/>
    </row>
    <row r="439">
      <c r="A439" s="139" t="s">
        <v>416</v>
      </c>
      <c r="B439" s="41" t="s">
        <v>1716</v>
      </c>
      <c r="C439" s="46">
        <v>7480.55</v>
      </c>
      <c r="D439" s="83" t="str">
        <f>HYPERLINK("https://osu.ppy.sh/u/2635960","[ raito ]")</f>
        <v>[ raito ]</v>
      </c>
      <c r="E439" s="52" t="s">
        <v>28</v>
      </c>
      <c r="F439" s="63" t="s">
        <v>813</v>
      </c>
      <c r="G439" s="65"/>
      <c r="H439" s="65"/>
      <c r="I439" s="65"/>
      <c r="J439" s="89"/>
      <c r="K439" s="90"/>
      <c r="L439" s="52"/>
      <c r="M439" s="41" t="s">
        <v>1717</v>
      </c>
      <c r="N439" s="41"/>
      <c r="P439" s="48"/>
      <c r="Q439" s="48"/>
      <c r="R439" s="48"/>
      <c r="S439" s="48"/>
      <c r="T439" s="61"/>
      <c r="U439" s="110" t="s">
        <v>1718</v>
      </c>
      <c r="V439" s="68" t="s">
        <v>1719</v>
      </c>
      <c r="Z439" s="45"/>
      <c r="AB439" s="57"/>
      <c r="AC439" s="57"/>
      <c r="AD439" s="57"/>
      <c r="AE439" s="57"/>
      <c r="AF439" s="57"/>
      <c r="AG439" s="57"/>
      <c r="AH439" s="57"/>
    </row>
    <row r="440">
      <c r="A440" s="139" t="s">
        <v>1720</v>
      </c>
      <c r="B440" s="41" t="s">
        <v>1721</v>
      </c>
      <c r="C440" s="46">
        <v>7469.79</v>
      </c>
      <c r="D440" s="47" t="str">
        <f>HYPERLINK("https://osu.ppy.sh/u/10835205","Corvidae")</f>
        <v>Corvidae</v>
      </c>
      <c r="E440" s="41"/>
      <c r="F440" s="58">
        <v>1000.0</v>
      </c>
      <c r="G440" s="48" t="s">
        <v>29</v>
      </c>
      <c r="H440" s="48" t="s">
        <v>67</v>
      </c>
      <c r="I440" s="48" t="s">
        <v>31</v>
      </c>
      <c r="J440" s="59" t="s">
        <v>32</v>
      </c>
      <c r="K440" s="60"/>
      <c r="L440" s="1" t="s">
        <v>417</v>
      </c>
      <c r="M440" s="1" t="s">
        <v>1722</v>
      </c>
      <c r="N440" s="1" t="s">
        <v>1723</v>
      </c>
      <c r="P440" s="91"/>
      <c r="Q440" s="92"/>
      <c r="R440" s="92"/>
      <c r="S440" s="92"/>
      <c r="Z440" s="45"/>
      <c r="AB440" s="57"/>
      <c r="AC440" s="57"/>
      <c r="AD440" s="57"/>
      <c r="AE440" s="57"/>
      <c r="AF440" s="57"/>
      <c r="AG440" s="57"/>
      <c r="AH440" s="57"/>
    </row>
    <row r="441">
      <c r="A441" s="139" t="s">
        <v>1724</v>
      </c>
      <c r="B441" s="1" t="s">
        <v>1725</v>
      </c>
      <c r="C441" s="33">
        <v>7467.92</v>
      </c>
      <c r="D441" s="34" t="str">
        <f>HYPERLINK("https://osu.ppy.sh/u/13650508","app")</f>
        <v>app</v>
      </c>
      <c r="E441" s="41" t="s">
        <v>28</v>
      </c>
      <c r="F441" s="48" t="s">
        <v>1726</v>
      </c>
      <c r="G441" s="37" t="s">
        <v>29</v>
      </c>
      <c r="H441" s="48" t="s">
        <v>1727</v>
      </c>
      <c r="I441" s="65" t="s">
        <v>31</v>
      </c>
      <c r="J441" s="38" t="s">
        <v>32</v>
      </c>
      <c r="K441" s="39" t="s">
        <v>33</v>
      </c>
      <c r="L441" s="1" t="s">
        <v>237</v>
      </c>
      <c r="M441" s="55" t="s">
        <v>1149</v>
      </c>
      <c r="N441" s="55" t="s">
        <v>174</v>
      </c>
      <c r="O441" s="55" t="s">
        <v>1151</v>
      </c>
      <c r="P441" s="48" t="s">
        <v>216</v>
      </c>
      <c r="Q441" s="48" t="s">
        <v>1152</v>
      </c>
      <c r="R441" s="48" t="s">
        <v>458</v>
      </c>
      <c r="S441" s="48" t="s">
        <v>41</v>
      </c>
      <c r="T441" s="61" t="s">
        <v>218</v>
      </c>
      <c r="U441" s="55" t="s">
        <v>1163</v>
      </c>
      <c r="V441" s="55" t="s">
        <v>1728</v>
      </c>
      <c r="Z441" s="45">
        <v>44256.0</v>
      </c>
      <c r="AA441" s="57"/>
      <c r="AB441" s="57"/>
      <c r="AC441" s="57"/>
      <c r="AD441" s="57"/>
      <c r="AE441" s="57"/>
      <c r="AF441" s="57"/>
      <c r="AG441" s="57"/>
      <c r="AH441" s="57"/>
    </row>
    <row r="442">
      <c r="A442" s="139" t="s">
        <v>1729</v>
      </c>
      <c r="B442" s="1" t="s">
        <v>1730</v>
      </c>
      <c r="C442" s="33">
        <v>7462.56</v>
      </c>
      <c r="D442" s="34" t="str">
        <f>HYPERLINK("https://osu.ppy.sh/u/5091930","Trainbarf")</f>
        <v>Trainbarf</v>
      </c>
      <c r="E442" s="52" t="s">
        <v>28</v>
      </c>
      <c r="F442" s="100"/>
      <c r="G442" s="101"/>
      <c r="H442" s="101"/>
      <c r="I442" s="101"/>
      <c r="J442" s="49"/>
      <c r="K442" s="82"/>
      <c r="L442" s="69"/>
      <c r="M442" s="69"/>
      <c r="N442" s="69"/>
      <c r="O442" s="69"/>
      <c r="P442" s="79"/>
      <c r="Q442" s="80"/>
      <c r="R442" s="80"/>
      <c r="S442" s="80"/>
      <c r="T442" s="69"/>
      <c r="U442" s="69"/>
      <c r="V442" s="69"/>
      <c r="AB442" s="57"/>
      <c r="AC442" s="57"/>
      <c r="AD442" s="57"/>
      <c r="AE442" s="57"/>
      <c r="AF442" s="57"/>
      <c r="AG442" s="57"/>
      <c r="AH442" s="57"/>
    </row>
    <row r="443">
      <c r="A443" s="139" t="s">
        <v>420</v>
      </c>
      <c r="B443" s="41" t="s">
        <v>1731</v>
      </c>
      <c r="C443" s="46">
        <v>7459.31</v>
      </c>
      <c r="D443" s="47" t="str">
        <f>HYPERLINK("https://osu.ppy.sh/u/9315365","Martin23")</f>
        <v>Martin23</v>
      </c>
      <c r="E443" s="52" t="s">
        <v>28</v>
      </c>
      <c r="F443" s="48" t="s">
        <v>77</v>
      </c>
      <c r="G443" s="48" t="s">
        <v>29</v>
      </c>
      <c r="H443" s="48" t="s">
        <v>67</v>
      </c>
      <c r="I443" s="48" t="s">
        <v>31</v>
      </c>
      <c r="J443" s="38" t="s">
        <v>32</v>
      </c>
      <c r="K443" s="48" t="s">
        <v>33</v>
      </c>
      <c r="L443" s="1" t="s">
        <v>417</v>
      </c>
      <c r="M443" s="1" t="s">
        <v>288</v>
      </c>
      <c r="O443" s="41" t="s">
        <v>109</v>
      </c>
      <c r="P443" s="42">
        <v>85.0</v>
      </c>
      <c r="Q443" s="43">
        <v>117.0</v>
      </c>
      <c r="R443" s="43">
        <v>62.0</v>
      </c>
      <c r="S443" s="43">
        <v>38.0</v>
      </c>
      <c r="T443" s="40" t="s">
        <v>42</v>
      </c>
      <c r="U443" s="1" t="s">
        <v>600</v>
      </c>
      <c r="V443" s="1" t="s">
        <v>74</v>
      </c>
      <c r="Z443" s="45">
        <v>43770.0</v>
      </c>
      <c r="AB443" s="57"/>
      <c r="AC443" s="57"/>
      <c r="AD443" s="57"/>
      <c r="AE443" s="57"/>
      <c r="AF443" s="57"/>
      <c r="AG443" s="57"/>
      <c r="AH443" s="57"/>
    </row>
    <row r="444">
      <c r="A444" s="139" t="s">
        <v>1732</v>
      </c>
      <c r="B444" s="1" t="s">
        <v>1733</v>
      </c>
      <c r="C444" s="33">
        <v>7450.24</v>
      </c>
      <c r="D444" s="34" t="str">
        <f>HYPERLINK("https://osu.ppy.sh/u/3586517","Tisgeh")</f>
        <v>Tisgeh</v>
      </c>
      <c r="E444" s="41" t="s">
        <v>28</v>
      </c>
      <c r="F444" s="109"/>
      <c r="G444" s="53"/>
      <c r="H444" s="53"/>
      <c r="I444" s="53"/>
      <c r="J444" s="54"/>
      <c r="K444" s="60"/>
      <c r="P444" s="91"/>
      <c r="Q444" s="92"/>
      <c r="R444" s="92"/>
      <c r="S444" s="92"/>
      <c r="Z444" s="45"/>
      <c r="AB444" s="57"/>
      <c r="AC444" s="57"/>
      <c r="AD444" s="57"/>
      <c r="AE444" s="57"/>
      <c r="AF444" s="57"/>
      <c r="AG444" s="57"/>
      <c r="AH444" s="57"/>
    </row>
    <row r="445">
      <c r="A445" s="139" t="s">
        <v>1734</v>
      </c>
      <c r="B445" s="1" t="s">
        <v>1735</v>
      </c>
      <c r="C445" s="33">
        <v>7442.73</v>
      </c>
      <c r="D445" s="34" t="str">
        <f>HYPERLINK("https://osu.ppy.sh/u/4262229","sinn")</f>
        <v>sinn</v>
      </c>
      <c r="E445" s="52" t="s">
        <v>28</v>
      </c>
      <c r="F445" s="36" t="s">
        <v>105</v>
      </c>
      <c r="G445" s="37" t="s">
        <v>29</v>
      </c>
      <c r="H445" s="37" t="s">
        <v>79</v>
      </c>
      <c r="I445" s="64" t="s">
        <v>31</v>
      </c>
      <c r="J445" s="38" t="s">
        <v>32</v>
      </c>
      <c r="K445" s="39" t="s">
        <v>81</v>
      </c>
      <c r="L445" s="40" t="s">
        <v>837</v>
      </c>
      <c r="M445" s="69"/>
      <c r="N445" s="69"/>
      <c r="O445" s="69"/>
      <c r="P445" s="79"/>
      <c r="Q445" s="80"/>
      <c r="R445" s="80"/>
      <c r="S445" s="80"/>
      <c r="T445" s="57"/>
      <c r="U445" s="40" t="s">
        <v>609</v>
      </c>
      <c r="V445" s="40" t="s">
        <v>44</v>
      </c>
      <c r="AB445" s="57"/>
      <c r="AC445" s="57"/>
      <c r="AD445" s="57"/>
      <c r="AE445" s="57"/>
      <c r="AF445" s="57"/>
      <c r="AG445" s="57"/>
      <c r="AH445" s="57"/>
    </row>
    <row r="446">
      <c r="A446" s="139" t="s">
        <v>1736</v>
      </c>
      <c r="B446" s="1" t="s">
        <v>1737</v>
      </c>
      <c r="C446" s="33">
        <v>7440.84</v>
      </c>
      <c r="D446" s="34" t="str">
        <f>HYPERLINK("https://osu.ppy.sh/u/3256645","crippletoytl")</f>
        <v>crippletoytl</v>
      </c>
      <c r="E446" s="52" t="s">
        <v>28</v>
      </c>
      <c r="F446" s="58" t="s">
        <v>559</v>
      </c>
      <c r="G446" s="48" t="s">
        <v>29</v>
      </c>
      <c r="H446" s="48" t="s">
        <v>67</v>
      </c>
      <c r="I446" s="48" t="s">
        <v>106</v>
      </c>
      <c r="J446" s="59" t="s">
        <v>192</v>
      </c>
      <c r="K446" s="74" t="s">
        <v>33</v>
      </c>
      <c r="M446" s="1" t="s">
        <v>69</v>
      </c>
      <c r="N446" s="1" t="s">
        <v>1738</v>
      </c>
      <c r="O446" s="40" t="s">
        <v>70</v>
      </c>
      <c r="P446" s="42" t="s">
        <v>71</v>
      </c>
      <c r="Q446" s="43" t="s">
        <v>39</v>
      </c>
      <c r="R446" s="43" t="s">
        <v>72</v>
      </c>
      <c r="S446" s="43" t="s">
        <v>41</v>
      </c>
      <c r="T446" s="61" t="s">
        <v>42</v>
      </c>
      <c r="U446" s="1" t="s">
        <v>1739</v>
      </c>
      <c r="V446" s="1" t="s">
        <v>1740</v>
      </c>
      <c r="Z446" s="45"/>
      <c r="AB446" s="57"/>
      <c r="AC446" s="57"/>
      <c r="AD446" s="57"/>
      <c r="AE446" s="57"/>
      <c r="AF446" s="57"/>
      <c r="AG446" s="57"/>
      <c r="AH446" s="57"/>
    </row>
    <row r="447">
      <c r="A447" s="139" t="s">
        <v>1741</v>
      </c>
      <c r="B447" s="41" t="s">
        <v>1742</v>
      </c>
      <c r="C447" s="46">
        <v>7437.2</v>
      </c>
      <c r="D447" s="159" t="str">
        <f>HYPERLINK("https://osu.ppy.sh/u/441380","ethox")</f>
        <v>ethox</v>
      </c>
      <c r="E447" s="75" t="s">
        <v>571</v>
      </c>
      <c r="F447" s="100">
        <v>800.0</v>
      </c>
      <c r="G447" s="128" t="s">
        <v>29</v>
      </c>
      <c r="H447" s="128" t="s">
        <v>67</v>
      </c>
      <c r="I447" s="37" t="s">
        <v>31</v>
      </c>
      <c r="J447" s="129" t="s">
        <v>32</v>
      </c>
      <c r="K447" s="115"/>
      <c r="L447" s="44" t="s">
        <v>222</v>
      </c>
      <c r="M447" s="40" t="s">
        <v>1548</v>
      </c>
      <c r="N447" s="40" t="s">
        <v>1743</v>
      </c>
      <c r="O447" s="1" t="s">
        <v>1549</v>
      </c>
      <c r="P447" s="85"/>
      <c r="Q447" s="86"/>
      <c r="R447" s="87"/>
      <c r="S447" s="87"/>
      <c r="T447" s="110"/>
      <c r="U447" s="160" t="s">
        <v>1744</v>
      </c>
      <c r="V447" s="57"/>
      <c r="W447" s="57"/>
      <c r="X447" s="57"/>
      <c r="Y447" s="57"/>
      <c r="Z447" s="161">
        <v>43497.0</v>
      </c>
      <c r="AB447" s="57"/>
      <c r="AC447" s="57"/>
      <c r="AD447" s="57"/>
      <c r="AE447" s="57"/>
      <c r="AF447" s="57"/>
      <c r="AG447" s="57"/>
      <c r="AH447" s="57"/>
    </row>
    <row r="448">
      <c r="A448" s="139" t="s">
        <v>1745</v>
      </c>
      <c r="B448" s="1" t="s">
        <v>1746</v>
      </c>
      <c r="C448" s="33">
        <v>7436.69</v>
      </c>
      <c r="D448" s="34" t="str">
        <f>HYPERLINK("https://osu.ppy.sh/u/12678582","L1RE")</f>
        <v>L1RE</v>
      </c>
      <c r="E448" s="52" t="s">
        <v>28</v>
      </c>
      <c r="F448" s="48" t="s">
        <v>47</v>
      </c>
      <c r="G448" s="48" t="s">
        <v>29</v>
      </c>
      <c r="H448" s="48" t="s">
        <v>394</v>
      </c>
      <c r="I448" s="48" t="s">
        <v>579</v>
      </c>
      <c r="J448" s="59" t="s">
        <v>192</v>
      </c>
      <c r="K448" s="48" t="s">
        <v>33</v>
      </c>
      <c r="L448" s="1" t="s">
        <v>386</v>
      </c>
      <c r="M448" s="40" t="s">
        <v>288</v>
      </c>
      <c r="N448" s="55" t="s">
        <v>179</v>
      </c>
      <c r="O448" s="41" t="s">
        <v>109</v>
      </c>
      <c r="P448" s="42">
        <v>85.0</v>
      </c>
      <c r="Q448" s="43">
        <v>117.0</v>
      </c>
      <c r="R448" s="43">
        <v>62.0</v>
      </c>
      <c r="S448" s="43">
        <v>38.0</v>
      </c>
      <c r="T448" s="40" t="s">
        <v>42</v>
      </c>
      <c r="U448" s="55" t="s">
        <v>1747</v>
      </c>
      <c r="V448" s="55" t="s">
        <v>1728</v>
      </c>
      <c r="Z448" s="45">
        <v>44166.0</v>
      </c>
      <c r="AA448" s="57"/>
      <c r="AB448" s="57"/>
      <c r="AC448" s="57"/>
      <c r="AD448" s="57"/>
      <c r="AE448" s="57"/>
      <c r="AF448" s="57"/>
      <c r="AG448" s="57"/>
      <c r="AH448" s="57"/>
    </row>
    <row r="449">
      <c r="A449" s="139" t="s">
        <v>1748</v>
      </c>
      <c r="B449" s="41" t="s">
        <v>1749</v>
      </c>
      <c r="C449" s="46">
        <v>7436.25</v>
      </c>
      <c r="D449" s="47" t="str">
        <f>HYPERLINK("https://osu.ppy.sh/u/8051206","0rie")</f>
        <v>0rie</v>
      </c>
      <c r="E449" s="52" t="s">
        <v>28</v>
      </c>
      <c r="F449" s="63">
        <v>800.0</v>
      </c>
      <c r="G449" s="65" t="s">
        <v>29</v>
      </c>
      <c r="H449" s="48" t="s">
        <v>67</v>
      </c>
      <c r="I449" s="37" t="s">
        <v>98</v>
      </c>
      <c r="J449" s="38" t="s">
        <v>32</v>
      </c>
      <c r="K449" s="39" t="s">
        <v>33</v>
      </c>
      <c r="L449" s="40" t="s">
        <v>129</v>
      </c>
      <c r="M449" s="40" t="s">
        <v>238</v>
      </c>
      <c r="N449" s="40" t="s">
        <v>1088</v>
      </c>
      <c r="O449" s="1" t="s">
        <v>70</v>
      </c>
      <c r="P449" s="85" t="s">
        <v>1750</v>
      </c>
      <c r="Q449" s="86" t="s">
        <v>175</v>
      </c>
      <c r="R449" s="87" t="s">
        <v>1751</v>
      </c>
      <c r="S449" s="87" t="s">
        <v>217</v>
      </c>
      <c r="T449" s="48" t="s">
        <v>42</v>
      </c>
      <c r="U449" s="40" t="s">
        <v>252</v>
      </c>
      <c r="V449" s="40" t="s">
        <v>89</v>
      </c>
      <c r="Z449" s="45">
        <v>43922.0</v>
      </c>
      <c r="AA449" s="57"/>
      <c r="AB449" s="57"/>
      <c r="AC449" s="57"/>
      <c r="AD449" s="57"/>
      <c r="AE449" s="57"/>
      <c r="AF449" s="57"/>
      <c r="AG449" s="57"/>
      <c r="AH449" s="57"/>
    </row>
    <row r="450">
      <c r="A450" s="139" t="s">
        <v>1752</v>
      </c>
      <c r="B450" s="1" t="s">
        <v>1753</v>
      </c>
      <c r="C450" s="33">
        <v>7435.55</v>
      </c>
      <c r="D450" s="34" t="str">
        <f>HYPERLINK("https://osu.ppy.sh/u/5148235","Ninjasukat")</f>
        <v>Ninjasukat</v>
      </c>
      <c r="E450" s="41"/>
      <c r="F450" s="109"/>
      <c r="G450" s="53"/>
      <c r="H450" s="53"/>
      <c r="I450" s="53"/>
      <c r="J450" s="54"/>
      <c r="K450" s="60"/>
      <c r="P450" s="91"/>
      <c r="Q450" s="92"/>
      <c r="R450" s="92"/>
      <c r="S450" s="92"/>
      <c r="Z450" s="45"/>
      <c r="AA450" s="57"/>
      <c r="AB450" s="57"/>
      <c r="AC450" s="57"/>
      <c r="AD450" s="57"/>
      <c r="AE450" s="57"/>
      <c r="AF450" s="57"/>
      <c r="AG450" s="57"/>
      <c r="AH450" s="57"/>
    </row>
    <row r="451">
      <c r="A451" s="139" t="s">
        <v>1754</v>
      </c>
      <c r="B451" s="41" t="s">
        <v>1755</v>
      </c>
      <c r="C451" s="46">
        <v>7432.85</v>
      </c>
      <c r="D451" s="105" t="str">
        <f>HYPERLINK("https://osu.ppy.sh/u/1151852","Vex")</f>
        <v>Vex</v>
      </c>
      <c r="E451" s="41" t="s">
        <v>28</v>
      </c>
      <c r="F451" s="100"/>
      <c r="G451" s="128"/>
      <c r="H451" s="128"/>
      <c r="I451" s="128"/>
      <c r="J451" s="129"/>
      <c r="K451" s="82"/>
      <c r="L451" s="57"/>
      <c r="M451" s="57"/>
      <c r="N451" s="57"/>
      <c r="O451" s="57"/>
      <c r="P451" s="79"/>
      <c r="Q451" s="80"/>
      <c r="R451" s="80"/>
      <c r="S451" s="80"/>
      <c r="T451" s="57"/>
      <c r="U451" s="57"/>
      <c r="V451" s="57"/>
      <c r="AA451" s="57"/>
      <c r="AB451" s="57"/>
      <c r="AC451" s="57"/>
      <c r="AD451" s="57"/>
      <c r="AE451" s="57"/>
      <c r="AF451" s="57"/>
      <c r="AG451" s="57"/>
      <c r="AH451" s="57"/>
    </row>
    <row r="452">
      <c r="A452" s="139" t="s">
        <v>1756</v>
      </c>
      <c r="B452" s="1" t="s">
        <v>1757</v>
      </c>
      <c r="C452" s="33">
        <v>7428.01</v>
      </c>
      <c r="D452" s="34" t="str">
        <f>HYPERLINK("https://osu.ppy.sh/u/10571200","Luscius")</f>
        <v>Luscius</v>
      </c>
      <c r="E452" s="41" t="s">
        <v>28</v>
      </c>
      <c r="F452" s="36">
        <v>800.0</v>
      </c>
      <c r="G452" s="37" t="s">
        <v>29</v>
      </c>
      <c r="H452" s="48" t="s">
        <v>1099</v>
      </c>
      <c r="I452" s="48" t="s">
        <v>31</v>
      </c>
      <c r="J452" s="59" t="s">
        <v>32</v>
      </c>
      <c r="K452" s="39">
        <v>1000.0</v>
      </c>
      <c r="L452" s="1" t="s">
        <v>477</v>
      </c>
      <c r="M452" s="40" t="s">
        <v>954</v>
      </c>
      <c r="N452" s="55" t="s">
        <v>1758</v>
      </c>
      <c r="O452" s="55" t="s">
        <v>701</v>
      </c>
      <c r="P452" s="42">
        <v>69.0</v>
      </c>
      <c r="Q452" s="43">
        <v>127.0</v>
      </c>
      <c r="R452" s="43">
        <v>58.0</v>
      </c>
      <c r="S452" s="43">
        <v>38.0</v>
      </c>
      <c r="T452" s="52" t="s">
        <v>153</v>
      </c>
      <c r="U452" s="55" t="s">
        <v>1759</v>
      </c>
      <c r="V452" s="55" t="s">
        <v>74</v>
      </c>
      <c r="Z452" s="45">
        <v>44166.0</v>
      </c>
      <c r="AA452" s="57"/>
      <c r="AB452" s="57"/>
      <c r="AC452" s="57"/>
      <c r="AD452" s="57"/>
      <c r="AE452" s="57"/>
      <c r="AF452" s="57"/>
      <c r="AG452" s="57"/>
      <c r="AH452" s="57"/>
    </row>
    <row r="453">
      <c r="A453" s="139" t="s">
        <v>1760</v>
      </c>
      <c r="B453" s="41" t="s">
        <v>1761</v>
      </c>
      <c r="C453" s="46">
        <v>7427.15</v>
      </c>
      <c r="D453" s="47" t="str">
        <f>HYPERLINK("https://osu.ppy.sh/u/4986705","Hot Cocoa")</f>
        <v>Hot Cocoa</v>
      </c>
      <c r="E453" s="35" t="s">
        <v>372</v>
      </c>
      <c r="F453" s="36" t="s">
        <v>58</v>
      </c>
      <c r="G453" s="37" t="s">
        <v>29</v>
      </c>
      <c r="H453" s="37" t="s">
        <v>67</v>
      </c>
      <c r="I453" s="37" t="s">
        <v>31</v>
      </c>
      <c r="J453" s="38" t="s">
        <v>32</v>
      </c>
      <c r="K453" s="82"/>
      <c r="L453" s="40" t="s">
        <v>257</v>
      </c>
      <c r="M453" s="40" t="s">
        <v>529</v>
      </c>
      <c r="N453" s="40" t="s">
        <v>407</v>
      </c>
      <c r="O453" s="40" t="s">
        <v>121</v>
      </c>
      <c r="P453" s="79"/>
      <c r="Q453" s="80"/>
      <c r="R453" s="80"/>
      <c r="S453" s="80"/>
      <c r="T453" s="69"/>
      <c r="U453" s="40" t="s">
        <v>1575</v>
      </c>
      <c r="V453" s="40" t="s">
        <v>74</v>
      </c>
      <c r="AB453" s="57"/>
      <c r="AC453" s="57"/>
      <c r="AD453" s="57"/>
      <c r="AE453" s="57"/>
      <c r="AF453" s="57"/>
      <c r="AG453" s="57"/>
      <c r="AH453" s="57"/>
    </row>
    <row r="454">
      <c r="A454" s="139" t="s">
        <v>1762</v>
      </c>
      <c r="B454" s="1" t="s">
        <v>1763</v>
      </c>
      <c r="C454" s="33">
        <v>7423.74</v>
      </c>
      <c r="D454" s="34" t="str">
        <f>HYPERLINK("https://osu.ppy.sh/u/7648296","m i n")</f>
        <v>m i n</v>
      </c>
      <c r="E454" s="40" t="s">
        <v>571</v>
      </c>
      <c r="F454" s="48" t="s">
        <v>206</v>
      </c>
      <c r="G454" s="48" t="s">
        <v>29</v>
      </c>
      <c r="H454" s="48" t="s">
        <v>1764</v>
      </c>
      <c r="I454" s="37" t="s">
        <v>31</v>
      </c>
      <c r="J454" s="59" t="s">
        <v>32</v>
      </c>
      <c r="K454" s="53"/>
      <c r="L454" s="1" t="s">
        <v>1765</v>
      </c>
      <c r="M454" s="40" t="s">
        <v>108</v>
      </c>
      <c r="N454" s="55" t="s">
        <v>174</v>
      </c>
      <c r="O454" s="1" t="s">
        <v>109</v>
      </c>
      <c r="P454" s="85" t="s">
        <v>110</v>
      </c>
      <c r="Q454" s="86" t="s">
        <v>39</v>
      </c>
      <c r="R454" s="87" t="s">
        <v>72</v>
      </c>
      <c r="S454" s="87" t="s">
        <v>41</v>
      </c>
      <c r="T454" s="48" t="s">
        <v>42</v>
      </c>
      <c r="U454" s="55"/>
      <c r="V454" s="55"/>
      <c r="Z454" s="45">
        <v>44256.0</v>
      </c>
      <c r="AA454" s="57"/>
      <c r="AB454" s="57"/>
      <c r="AC454" s="57"/>
      <c r="AD454" s="57"/>
      <c r="AE454" s="57"/>
      <c r="AF454" s="57"/>
      <c r="AG454" s="57"/>
      <c r="AH454" s="57"/>
    </row>
    <row r="455">
      <c r="A455" s="139" t="s">
        <v>1766</v>
      </c>
      <c r="B455" s="41" t="s">
        <v>1767</v>
      </c>
      <c r="C455" s="46">
        <v>7422.12</v>
      </c>
      <c r="D455" s="47" t="str">
        <f>HYPERLINK("https://osu.ppy.sh/u/1942184","Jamker")</f>
        <v>Jamker</v>
      </c>
      <c r="E455" s="52" t="s">
        <v>28</v>
      </c>
      <c r="F455" s="36" t="s">
        <v>105</v>
      </c>
      <c r="G455" s="37" t="s">
        <v>29</v>
      </c>
      <c r="H455" s="37" t="s">
        <v>578</v>
      </c>
      <c r="I455" s="37" t="s">
        <v>31</v>
      </c>
      <c r="J455" s="38" t="s">
        <v>32</v>
      </c>
      <c r="K455" s="39" t="s">
        <v>33</v>
      </c>
      <c r="L455" s="69"/>
      <c r="M455" s="40" t="s">
        <v>1768</v>
      </c>
      <c r="N455" s="40" t="s">
        <v>1346</v>
      </c>
      <c r="O455" s="41" t="s">
        <v>408</v>
      </c>
      <c r="P455" s="42" t="s">
        <v>1769</v>
      </c>
      <c r="Q455" s="43" t="s">
        <v>802</v>
      </c>
      <c r="R455" s="43" t="s">
        <v>1770</v>
      </c>
      <c r="S455" s="43" t="s">
        <v>251</v>
      </c>
      <c r="T455" s="55" t="s">
        <v>42</v>
      </c>
      <c r="U455" s="40" t="s">
        <v>1771</v>
      </c>
      <c r="V455" s="40" t="s">
        <v>89</v>
      </c>
      <c r="Z455" s="45">
        <v>43313.0</v>
      </c>
      <c r="AB455" s="57"/>
      <c r="AC455" s="57"/>
      <c r="AD455" s="57"/>
      <c r="AE455" s="57"/>
      <c r="AF455" s="57"/>
      <c r="AG455" s="57"/>
      <c r="AH455" s="57"/>
    </row>
    <row r="456">
      <c r="A456" s="139" t="s">
        <v>1772</v>
      </c>
      <c r="B456" s="1" t="s">
        <v>1773</v>
      </c>
      <c r="C456" s="33">
        <v>7419.18</v>
      </c>
      <c r="D456" s="94" t="str">
        <f>HYPERLINK("https://osu.ppy.sh/u/2676512","NazzzF")</f>
        <v>NazzzF</v>
      </c>
      <c r="E456" s="1" t="s">
        <v>28</v>
      </c>
      <c r="F456" s="58" t="s">
        <v>58</v>
      </c>
      <c r="G456" s="48" t="s">
        <v>29</v>
      </c>
      <c r="H456" s="48" t="s">
        <v>67</v>
      </c>
      <c r="I456" s="48" t="s">
        <v>373</v>
      </c>
      <c r="J456" s="59" t="s">
        <v>32</v>
      </c>
      <c r="K456" s="74" t="s">
        <v>33</v>
      </c>
      <c r="L456" s="1" t="s">
        <v>146</v>
      </c>
      <c r="M456" s="1" t="s">
        <v>1774</v>
      </c>
      <c r="N456" s="1" t="s">
        <v>1775</v>
      </c>
      <c r="O456" s="35" t="s">
        <v>278</v>
      </c>
      <c r="P456" s="91"/>
      <c r="Q456" s="92"/>
      <c r="R456" s="92"/>
      <c r="S456" s="92"/>
      <c r="T456" s="55" t="s">
        <v>42</v>
      </c>
      <c r="U456" s="1" t="s">
        <v>1776</v>
      </c>
      <c r="V456" s="1" t="s">
        <v>89</v>
      </c>
      <c r="Z456" s="45">
        <v>43040.0</v>
      </c>
      <c r="AB456" s="57"/>
      <c r="AC456" s="57"/>
      <c r="AD456" s="57"/>
      <c r="AE456" s="57"/>
      <c r="AF456" s="57"/>
      <c r="AG456" s="57"/>
      <c r="AH456" s="57"/>
    </row>
    <row r="457">
      <c r="A457" s="139" t="s">
        <v>1777</v>
      </c>
      <c r="B457" s="1" t="s">
        <v>1778</v>
      </c>
      <c r="C457" s="33">
        <v>7417.07</v>
      </c>
      <c r="D457" s="34" t="str">
        <f>HYPERLINK("https://osu.ppy.sh/u/5221108","Kintrai")</f>
        <v>Kintrai</v>
      </c>
      <c r="E457" s="55" t="s">
        <v>28</v>
      </c>
      <c r="F457" s="58">
        <v>800.0</v>
      </c>
      <c r="G457" s="48" t="s">
        <v>29</v>
      </c>
      <c r="H457" s="48" t="s">
        <v>67</v>
      </c>
      <c r="I457" s="48" t="s">
        <v>31</v>
      </c>
      <c r="J457" s="59" t="s">
        <v>32</v>
      </c>
      <c r="K457" s="74">
        <v>1000.0</v>
      </c>
      <c r="L457" s="55" t="s">
        <v>222</v>
      </c>
      <c r="M457" s="1" t="s">
        <v>396</v>
      </c>
      <c r="N457" s="1" t="s">
        <v>1088</v>
      </c>
      <c r="O457" s="1" t="s">
        <v>52</v>
      </c>
      <c r="P457" s="85">
        <v>85.0</v>
      </c>
      <c r="Q457" s="86">
        <v>124.0</v>
      </c>
      <c r="R457" s="87">
        <v>58.0</v>
      </c>
      <c r="S457" s="87">
        <v>36.0</v>
      </c>
      <c r="T457" s="110"/>
      <c r="U457" s="55" t="s">
        <v>1779</v>
      </c>
      <c r="V457" s="1" t="s">
        <v>74</v>
      </c>
      <c r="AB457" s="57"/>
      <c r="AC457" s="57"/>
      <c r="AD457" s="57"/>
      <c r="AE457" s="57"/>
      <c r="AF457" s="57"/>
      <c r="AG457" s="57"/>
      <c r="AH457" s="57"/>
    </row>
    <row r="458">
      <c r="A458" s="139" t="s">
        <v>1780</v>
      </c>
      <c r="B458" s="111" t="s">
        <v>423</v>
      </c>
      <c r="C458" s="112">
        <v>7411.33</v>
      </c>
      <c r="D458" s="113" t="str">
        <f>HYPERLINK("https://osu.ppy.sh/u/5051859","Araragi Karen")</f>
        <v>Araragi Karen</v>
      </c>
      <c r="E458" s="52" t="s">
        <v>28</v>
      </c>
      <c r="F458" s="36" t="s">
        <v>813</v>
      </c>
      <c r="G458" s="37" t="s">
        <v>29</v>
      </c>
      <c r="H458" s="37" t="s">
        <v>362</v>
      </c>
      <c r="I458" s="37" t="s">
        <v>1781</v>
      </c>
      <c r="J458" s="38" t="s">
        <v>32</v>
      </c>
      <c r="K458" s="39" t="s">
        <v>33</v>
      </c>
      <c r="L458" s="40" t="s">
        <v>848</v>
      </c>
      <c r="M458" s="40" t="s">
        <v>69</v>
      </c>
      <c r="N458" s="40" t="s">
        <v>502</v>
      </c>
      <c r="O458" s="40" t="s">
        <v>70</v>
      </c>
      <c r="P458" s="42" t="s">
        <v>71</v>
      </c>
      <c r="Q458" s="43" t="s">
        <v>39</v>
      </c>
      <c r="R458" s="43" t="s">
        <v>72</v>
      </c>
      <c r="S458" s="43" t="s">
        <v>41</v>
      </c>
      <c r="T458" s="61" t="s">
        <v>42</v>
      </c>
      <c r="U458" s="40" t="s">
        <v>668</v>
      </c>
      <c r="V458" s="40" t="s">
        <v>44</v>
      </c>
      <c r="Z458" s="45">
        <v>43586.0</v>
      </c>
      <c r="AB458" s="57"/>
      <c r="AC458" s="57"/>
      <c r="AD458" s="57"/>
      <c r="AE458" s="57"/>
      <c r="AF458" s="57"/>
      <c r="AG458" s="57"/>
      <c r="AH458" s="57"/>
    </row>
    <row r="459">
      <c r="A459" s="139" t="s">
        <v>1782</v>
      </c>
      <c r="B459" s="1" t="s">
        <v>1783</v>
      </c>
      <c r="C459" s="33">
        <v>7406.63</v>
      </c>
      <c r="D459" s="34" t="str">
        <f>HYPERLINK("https://osu.ppy.sh/u/3205886","LemonLube")</f>
        <v>LemonLube</v>
      </c>
      <c r="E459" s="40" t="s">
        <v>571</v>
      </c>
      <c r="F459" s="36">
        <v>300.0</v>
      </c>
      <c r="G459" s="37" t="s">
        <v>29</v>
      </c>
      <c r="H459" s="66" t="s">
        <v>67</v>
      </c>
      <c r="I459" s="37" t="s">
        <v>31</v>
      </c>
      <c r="J459" s="129"/>
      <c r="K459" s="82"/>
      <c r="L459" s="40" t="s">
        <v>1460</v>
      </c>
      <c r="M459" s="40" t="s">
        <v>485</v>
      </c>
      <c r="N459" s="57"/>
      <c r="O459" s="57"/>
      <c r="P459" s="79"/>
      <c r="Q459" s="80"/>
      <c r="R459" s="80"/>
      <c r="S459" s="80"/>
      <c r="T459" s="57"/>
      <c r="U459" s="57"/>
      <c r="V459" s="57"/>
      <c r="AB459" s="57"/>
      <c r="AC459" s="57"/>
      <c r="AD459" s="57"/>
      <c r="AE459" s="57"/>
      <c r="AF459" s="57"/>
      <c r="AG459" s="57"/>
      <c r="AH459" s="57"/>
    </row>
    <row r="460">
      <c r="A460" s="139" t="s">
        <v>1784</v>
      </c>
      <c r="B460" s="1" t="s">
        <v>1785</v>
      </c>
      <c r="C460" s="33">
        <v>7402.23</v>
      </c>
      <c r="D460" s="34" t="str">
        <f>HYPERLINK("https://osu.ppy.sh/u/10042820","TakJax")</f>
        <v>TakJax</v>
      </c>
      <c r="E460" s="41" t="s">
        <v>28</v>
      </c>
      <c r="F460" s="63">
        <v>800.0</v>
      </c>
      <c r="G460" s="53"/>
      <c r="H460" s="48" t="s">
        <v>527</v>
      </c>
      <c r="I460" s="65" t="s">
        <v>31</v>
      </c>
      <c r="J460" s="54"/>
      <c r="K460" s="53"/>
      <c r="M460" s="41" t="s">
        <v>238</v>
      </c>
      <c r="N460" s="56"/>
      <c r="O460" s="35" t="s">
        <v>70</v>
      </c>
      <c r="P460" s="72">
        <v>126.0</v>
      </c>
      <c r="Q460" s="73">
        <v>128.0</v>
      </c>
      <c r="R460" s="73">
        <v>76.0</v>
      </c>
      <c r="S460" s="73">
        <v>42.0</v>
      </c>
      <c r="T460" s="61" t="s">
        <v>479</v>
      </c>
      <c r="U460" s="55" t="s">
        <v>966</v>
      </c>
      <c r="V460" s="55" t="s">
        <v>1786</v>
      </c>
      <c r="Z460" s="45">
        <v>44075.0</v>
      </c>
      <c r="AA460" s="57"/>
      <c r="AB460" s="57"/>
      <c r="AC460" s="57"/>
      <c r="AD460" s="57"/>
      <c r="AE460" s="57"/>
      <c r="AF460" s="57"/>
      <c r="AG460" s="57"/>
      <c r="AH460" s="57"/>
    </row>
    <row r="461">
      <c r="A461" s="139" t="s">
        <v>1787</v>
      </c>
      <c r="B461" s="1" t="s">
        <v>1788</v>
      </c>
      <c r="C461" s="33">
        <v>7401.78</v>
      </c>
      <c r="D461" s="34" t="str">
        <f>HYPERLINK("https://osu.ppy.sh/u/4701393","diino")</f>
        <v>diino</v>
      </c>
      <c r="E461" s="41" t="s">
        <v>28</v>
      </c>
      <c r="G461" s="53"/>
      <c r="I461" s="53"/>
      <c r="J461" s="54"/>
      <c r="AA461" s="57"/>
    </row>
    <row r="462">
      <c r="A462" s="81" t="s">
        <v>1789</v>
      </c>
      <c r="B462" s="41" t="s">
        <v>1790</v>
      </c>
      <c r="C462" s="46">
        <v>7398.38</v>
      </c>
      <c r="D462" s="62" t="str">
        <f>HYPERLINK("https://osu.ppy.sh/u/692065","Mood Breaker")</f>
        <v>Mood Breaker</v>
      </c>
      <c r="E462" s="35" t="s">
        <v>28</v>
      </c>
      <c r="F462" s="63">
        <v>800.0</v>
      </c>
      <c r="G462" s="64" t="s">
        <v>29</v>
      </c>
      <c r="H462" s="64" t="s">
        <v>1791</v>
      </c>
      <c r="I462" s="64" t="s">
        <v>106</v>
      </c>
      <c r="J462" s="67" t="s">
        <v>32</v>
      </c>
      <c r="K462" s="82"/>
      <c r="L462" s="44" t="s">
        <v>1792</v>
      </c>
      <c r="M462" s="75" t="s">
        <v>1793</v>
      </c>
      <c r="N462" s="75" t="s">
        <v>1794</v>
      </c>
      <c r="O462" s="57"/>
      <c r="P462" s="79"/>
      <c r="Q462" s="73">
        <v>120.0</v>
      </c>
      <c r="R462" s="73">
        <v>60.0</v>
      </c>
      <c r="S462" s="73">
        <v>37.0</v>
      </c>
      <c r="T462" s="57"/>
      <c r="U462" s="75" t="s">
        <v>62</v>
      </c>
      <c r="V462" s="75" t="s">
        <v>63</v>
      </c>
      <c r="Z462" s="45">
        <v>42491.0</v>
      </c>
    </row>
    <row r="463">
      <c r="A463" s="81" t="s">
        <v>1795</v>
      </c>
      <c r="B463" s="41" t="s">
        <v>1796</v>
      </c>
      <c r="C463" s="46">
        <v>7397.89</v>
      </c>
      <c r="D463" s="47" t="str">
        <f>HYPERLINK("https://osu.ppy.sh/u/8468894","L1uska")</f>
        <v>L1uska</v>
      </c>
      <c r="E463" s="52" t="s">
        <v>28</v>
      </c>
      <c r="F463" s="100"/>
      <c r="G463" s="101"/>
      <c r="H463" s="101"/>
      <c r="I463" s="101"/>
      <c r="J463" s="49"/>
      <c r="K463" s="82"/>
      <c r="L463" s="69"/>
      <c r="M463" s="69"/>
      <c r="N463" s="69"/>
      <c r="O463" s="69"/>
      <c r="P463" s="79"/>
      <c r="Q463" s="80"/>
      <c r="R463" s="80"/>
      <c r="S463" s="80"/>
      <c r="T463" s="69"/>
      <c r="U463" s="69"/>
      <c r="V463" s="69"/>
      <c r="AA463" s="57"/>
    </row>
    <row r="464">
      <c r="A464" s="139" t="s">
        <v>1797</v>
      </c>
      <c r="B464" s="41" t="s">
        <v>1798</v>
      </c>
      <c r="C464" s="46">
        <v>7395.88</v>
      </c>
      <c r="D464" s="47" t="str">
        <f>HYPERLINK("https://osu.ppy.sh/u/618549","Jordan")</f>
        <v>Jordan</v>
      </c>
      <c r="E464" s="52" t="s">
        <v>28</v>
      </c>
      <c r="F464" s="36" t="s">
        <v>105</v>
      </c>
      <c r="G464" s="37" t="s">
        <v>29</v>
      </c>
      <c r="H464" s="37" t="s">
        <v>1799</v>
      </c>
      <c r="I464" s="37" t="s">
        <v>31</v>
      </c>
      <c r="J464" s="38" t="s">
        <v>32</v>
      </c>
      <c r="K464" s="39" t="s">
        <v>33</v>
      </c>
      <c r="L464" s="69"/>
      <c r="M464" s="40" t="s">
        <v>50</v>
      </c>
      <c r="N464" s="40" t="s">
        <v>696</v>
      </c>
      <c r="O464" s="1" t="s">
        <v>52</v>
      </c>
      <c r="P464" s="85" t="s">
        <v>744</v>
      </c>
      <c r="Q464" s="86" t="s">
        <v>745</v>
      </c>
      <c r="R464" s="86" t="s">
        <v>40</v>
      </c>
      <c r="S464" s="86" t="s">
        <v>746</v>
      </c>
      <c r="T464" s="61" t="s">
        <v>53</v>
      </c>
      <c r="U464" s="40" t="s">
        <v>1800</v>
      </c>
      <c r="V464" s="40" t="s">
        <v>1801</v>
      </c>
      <c r="Z464" s="45">
        <v>43435.0</v>
      </c>
    </row>
    <row r="465">
      <c r="A465" s="139" t="s">
        <v>1802</v>
      </c>
      <c r="B465" s="41" t="s">
        <v>1803</v>
      </c>
      <c r="C465" s="46">
        <v>7393.21</v>
      </c>
      <c r="D465" s="62" t="str">
        <f>HYPERLINK("https://osu.ppy.sh/u/2964008","Fl0master1337")</f>
        <v>Fl0master1337</v>
      </c>
      <c r="E465" s="61" t="s">
        <v>28</v>
      </c>
      <c r="F465" s="63">
        <v>800.0</v>
      </c>
      <c r="G465" s="66" t="s">
        <v>29</v>
      </c>
      <c r="H465" s="66" t="s">
        <v>67</v>
      </c>
      <c r="I465" s="66" t="s">
        <v>31</v>
      </c>
      <c r="J465" s="70" t="s">
        <v>32</v>
      </c>
      <c r="K465" s="82"/>
      <c r="L465" s="61" t="s">
        <v>222</v>
      </c>
      <c r="M465" s="35" t="s">
        <v>1804</v>
      </c>
      <c r="N465" s="35" t="s">
        <v>61</v>
      </c>
      <c r="O465" s="35" t="s">
        <v>278</v>
      </c>
      <c r="P465" s="79"/>
      <c r="Q465" s="80"/>
      <c r="R465" s="80"/>
      <c r="S465" s="80"/>
      <c r="T465" s="69"/>
      <c r="U465" s="35" t="s">
        <v>1474</v>
      </c>
      <c r="V465" s="35" t="s">
        <v>74</v>
      </c>
      <c r="Z465" s="45">
        <v>42644.0</v>
      </c>
    </row>
    <row r="466">
      <c r="A466" s="139" t="s">
        <v>1805</v>
      </c>
      <c r="B466" s="41" t="s">
        <v>1806</v>
      </c>
      <c r="C466" s="46">
        <v>7391.12</v>
      </c>
      <c r="D466" s="62" t="str">
        <f>HYPERLINK("https://osu.ppy.sh/u/1163205","ffstar")</f>
        <v>ffstar</v>
      </c>
      <c r="E466" s="61" t="s">
        <v>571</v>
      </c>
      <c r="F466" s="63" t="s">
        <v>1807</v>
      </c>
      <c r="G466" s="64" t="s">
        <v>29</v>
      </c>
      <c r="H466" s="64" t="s">
        <v>67</v>
      </c>
      <c r="I466" s="64" t="s">
        <v>31</v>
      </c>
      <c r="J466" s="67" t="s">
        <v>32</v>
      </c>
      <c r="K466" s="82"/>
      <c r="L466" s="44" t="s">
        <v>263</v>
      </c>
      <c r="M466" s="41" t="s">
        <v>199</v>
      </c>
      <c r="N466" s="75" t="s">
        <v>780</v>
      </c>
      <c r="O466" s="75" t="s">
        <v>201</v>
      </c>
      <c r="P466" s="72">
        <v>103.0</v>
      </c>
      <c r="Q466" s="73">
        <v>136.0</v>
      </c>
      <c r="R466" s="73">
        <v>72.0</v>
      </c>
      <c r="S466" s="73">
        <v>41.0</v>
      </c>
      <c r="T466" s="44" t="s">
        <v>42</v>
      </c>
      <c r="U466" s="57"/>
      <c r="V466" s="57"/>
    </row>
    <row r="467">
      <c r="A467" s="81" t="s">
        <v>1808</v>
      </c>
      <c r="B467" s="41" t="s">
        <v>1809</v>
      </c>
      <c r="C467" s="46">
        <v>7384.37</v>
      </c>
      <c r="D467" s="84" t="str">
        <f>HYPERLINK("https://osu.ppy.sh/u/735289","Mythol")</f>
        <v>Mythol</v>
      </c>
      <c r="E467" s="61" t="s">
        <v>571</v>
      </c>
      <c r="F467" s="63">
        <v>700.0</v>
      </c>
      <c r="G467" s="128"/>
      <c r="H467" s="64" t="s">
        <v>67</v>
      </c>
      <c r="I467" s="64" t="s">
        <v>106</v>
      </c>
      <c r="J467" s="67" t="s">
        <v>192</v>
      </c>
      <c r="K467" s="82"/>
      <c r="L467" s="44" t="s">
        <v>1810</v>
      </c>
      <c r="M467" s="75" t="s">
        <v>238</v>
      </c>
      <c r="N467" s="57"/>
      <c r="O467" s="75" t="s">
        <v>70</v>
      </c>
      <c r="P467" s="72">
        <v>126.0</v>
      </c>
      <c r="Q467" s="73">
        <v>128.0</v>
      </c>
      <c r="R467" s="73">
        <v>76.0</v>
      </c>
      <c r="S467" s="73">
        <v>42.0</v>
      </c>
      <c r="T467" s="52" t="s">
        <v>42</v>
      </c>
      <c r="U467" s="57"/>
      <c r="V467" s="57"/>
      <c r="AA467" s="57"/>
    </row>
    <row r="468">
      <c r="A468" s="81" t="s">
        <v>1811</v>
      </c>
      <c r="B468" s="1" t="s">
        <v>1812</v>
      </c>
      <c r="C468" s="33">
        <v>7383.67</v>
      </c>
      <c r="D468" s="34" t="str">
        <f>HYPERLINK("https://osu.ppy.sh/u/7911098","dpisdaniel")</f>
        <v>dpisdaniel</v>
      </c>
      <c r="E468" s="55"/>
      <c r="F468" s="109"/>
      <c r="G468" s="53"/>
      <c r="H468" s="53"/>
      <c r="I468" s="53"/>
      <c r="J468" s="54"/>
      <c r="K468" s="60"/>
      <c r="L468" s="53"/>
      <c r="P468" s="91"/>
      <c r="Q468" s="92"/>
      <c r="R468" s="93"/>
      <c r="S468" s="93"/>
      <c r="T468" s="53"/>
      <c r="U468" s="53"/>
    </row>
    <row r="469">
      <c r="A469" s="81" t="s">
        <v>1813</v>
      </c>
      <c r="B469" s="41" t="s">
        <v>1814</v>
      </c>
      <c r="C469" s="46">
        <v>7373.63</v>
      </c>
      <c r="D469" s="62" t="str">
        <f>HYPERLINK("https://osu.ppy.sh/u/5485349","BreadedFish")</f>
        <v>BreadedFish</v>
      </c>
      <c r="E469" s="52" t="s">
        <v>28</v>
      </c>
      <c r="F469" s="36">
        <v>800.0</v>
      </c>
      <c r="G469" s="37" t="s">
        <v>1815</v>
      </c>
      <c r="H469" s="37" t="s">
        <v>67</v>
      </c>
      <c r="I469" s="37" t="s">
        <v>31</v>
      </c>
      <c r="J469" s="38" t="s">
        <v>192</v>
      </c>
      <c r="K469" s="82"/>
      <c r="L469" s="57"/>
      <c r="M469" s="40" t="s">
        <v>1816</v>
      </c>
      <c r="N469" s="57"/>
      <c r="O469" s="57"/>
      <c r="P469" s="79"/>
      <c r="Q469" s="80"/>
      <c r="R469" s="80"/>
      <c r="S469" s="80"/>
      <c r="T469" s="57"/>
      <c r="U469" s="40" t="s">
        <v>1817</v>
      </c>
      <c r="V469" s="40" t="s">
        <v>63</v>
      </c>
      <c r="Z469" s="45">
        <v>42917.0</v>
      </c>
      <c r="AA469" s="57"/>
    </row>
    <row r="470">
      <c r="A470" s="81" t="s">
        <v>1818</v>
      </c>
      <c r="B470" s="41" t="s">
        <v>1819</v>
      </c>
      <c r="C470" s="46">
        <v>7360.52</v>
      </c>
      <c r="D470" s="62" t="str">
        <f>HYPERLINK("https://osu.ppy.sh/u/4491713","Chugger")</f>
        <v>Chugger</v>
      </c>
      <c r="E470" s="52" t="s">
        <v>28</v>
      </c>
      <c r="F470" s="58" t="s">
        <v>105</v>
      </c>
      <c r="G470" s="48" t="s">
        <v>29</v>
      </c>
      <c r="H470" s="48" t="s">
        <v>67</v>
      </c>
      <c r="I470" s="48" t="s">
        <v>31</v>
      </c>
      <c r="J470" s="59" t="s">
        <v>32</v>
      </c>
      <c r="K470" s="60"/>
      <c r="L470" s="1" t="s">
        <v>222</v>
      </c>
      <c r="M470" s="1" t="s">
        <v>1768</v>
      </c>
      <c r="N470" s="1" t="s">
        <v>179</v>
      </c>
      <c r="O470" s="41" t="s">
        <v>408</v>
      </c>
      <c r="P470" s="91"/>
      <c r="Q470" s="92"/>
      <c r="R470" s="92"/>
      <c r="S470" s="92"/>
      <c r="U470" s="1" t="s">
        <v>252</v>
      </c>
      <c r="V470" s="1" t="s">
        <v>74</v>
      </c>
      <c r="Z470" s="45">
        <v>43132.0</v>
      </c>
      <c r="AA470" s="57"/>
    </row>
    <row r="471">
      <c r="A471" s="81" t="s">
        <v>1820</v>
      </c>
      <c r="B471" s="1" t="s">
        <v>1821</v>
      </c>
      <c r="C471" s="33">
        <v>7359.33</v>
      </c>
      <c r="D471" s="34" t="str">
        <f>HYPERLINK("https://osu.ppy.sh/u/4849488","Frostick")</f>
        <v>Frostick</v>
      </c>
      <c r="E471" s="61" t="s">
        <v>571</v>
      </c>
      <c r="F471" s="63">
        <v>1000.0</v>
      </c>
      <c r="G471" s="48" t="s">
        <v>29</v>
      </c>
      <c r="H471" s="48" t="s">
        <v>527</v>
      </c>
      <c r="I471" s="37" t="s">
        <v>31</v>
      </c>
      <c r="J471" s="59" t="s">
        <v>32</v>
      </c>
      <c r="K471" s="39" t="s">
        <v>33</v>
      </c>
      <c r="L471" s="1" t="s">
        <v>341</v>
      </c>
      <c r="M471" s="40" t="s">
        <v>35</v>
      </c>
      <c r="N471" s="55" t="s">
        <v>1822</v>
      </c>
      <c r="O471" s="41" t="s">
        <v>37</v>
      </c>
      <c r="P471" s="42" t="s">
        <v>38</v>
      </c>
      <c r="Q471" s="43" t="s">
        <v>39</v>
      </c>
      <c r="R471" s="43" t="s">
        <v>40</v>
      </c>
      <c r="S471" s="43" t="s">
        <v>41</v>
      </c>
      <c r="T471" s="44" t="s">
        <v>42</v>
      </c>
      <c r="U471" s="55"/>
      <c r="V471" s="55"/>
      <c r="Z471" s="45">
        <v>44136.0</v>
      </c>
      <c r="AA471" s="57"/>
    </row>
    <row r="472">
      <c r="A472" s="81" t="s">
        <v>1823</v>
      </c>
      <c r="B472" s="41" t="s">
        <v>1824</v>
      </c>
      <c r="C472" s="46">
        <v>7354.74</v>
      </c>
      <c r="D472" s="47" t="str">
        <f>HYPERLINK("https://osu.ppy.sh/u/5142233","Shrub")</f>
        <v>Shrub</v>
      </c>
      <c r="E472" s="52" t="s">
        <v>28</v>
      </c>
      <c r="F472" s="100"/>
      <c r="G472" s="101"/>
      <c r="H472" s="101"/>
      <c r="I472" s="101"/>
      <c r="J472" s="49"/>
      <c r="K472" s="82"/>
      <c r="L472" s="69"/>
      <c r="M472" s="69"/>
      <c r="N472" s="69"/>
      <c r="O472" s="69"/>
      <c r="P472" s="79"/>
      <c r="Q472" s="80"/>
      <c r="R472" s="80"/>
      <c r="S472" s="80"/>
      <c r="T472" s="69"/>
      <c r="U472" s="69"/>
      <c r="V472" s="69"/>
      <c r="AA472" s="57"/>
    </row>
    <row r="473">
      <c r="A473" s="81" t="s">
        <v>1825</v>
      </c>
      <c r="B473" s="41" t="s">
        <v>1826</v>
      </c>
      <c r="C473" s="46">
        <v>7351.1</v>
      </c>
      <c r="D473" s="83" t="str">
        <f>HYPERLINK("https://osu.ppy.sh/u/3392418","Shikatsu")</f>
        <v>Shikatsu</v>
      </c>
      <c r="E473" s="40" t="s">
        <v>28</v>
      </c>
      <c r="F473" s="63">
        <v>800.0</v>
      </c>
      <c r="G473" s="65" t="s">
        <v>29</v>
      </c>
      <c r="H473" s="48" t="s">
        <v>67</v>
      </c>
      <c r="I473" s="65" t="s">
        <v>106</v>
      </c>
      <c r="J473" s="89" t="s">
        <v>32</v>
      </c>
      <c r="K473" s="39">
        <v>1000.0</v>
      </c>
      <c r="L473" s="61" t="s">
        <v>107</v>
      </c>
      <c r="M473" s="41" t="s">
        <v>238</v>
      </c>
      <c r="N473" s="41" t="s">
        <v>179</v>
      </c>
      <c r="O473" s="40"/>
      <c r="P473" s="79"/>
      <c r="Q473" s="80"/>
      <c r="R473" s="80"/>
      <c r="S473" s="80"/>
      <c r="T473" s="69"/>
      <c r="U473" s="41" t="s">
        <v>117</v>
      </c>
      <c r="V473" s="41" t="s">
        <v>74</v>
      </c>
      <c r="Z473" s="45">
        <v>42917.0</v>
      </c>
    </row>
    <row r="474">
      <c r="A474" s="81" t="s">
        <v>1827</v>
      </c>
      <c r="B474" s="41" t="s">
        <v>1828</v>
      </c>
      <c r="C474" s="46">
        <v>7348.29</v>
      </c>
      <c r="D474" s="116" t="str">
        <f>HYPERLINK("https://osu.ppy.sh/u/8076038","iammyself123")</f>
        <v>iammyself123</v>
      </c>
      <c r="E474" s="41" t="s">
        <v>28</v>
      </c>
      <c r="F474" s="63" t="s">
        <v>303</v>
      </c>
      <c r="G474" s="65" t="s">
        <v>29</v>
      </c>
      <c r="H474" s="65" t="s">
        <v>67</v>
      </c>
      <c r="I474" s="65" t="s">
        <v>31</v>
      </c>
      <c r="J474" s="89" t="s">
        <v>32</v>
      </c>
      <c r="K474" s="71" t="s">
        <v>33</v>
      </c>
      <c r="L474" s="52" t="s">
        <v>848</v>
      </c>
      <c r="M474" s="41" t="s">
        <v>108</v>
      </c>
      <c r="N474" s="41" t="s">
        <v>179</v>
      </c>
      <c r="O474" s="1" t="s">
        <v>109</v>
      </c>
      <c r="P474" s="85" t="s">
        <v>110</v>
      </c>
      <c r="Q474" s="86" t="s">
        <v>39</v>
      </c>
      <c r="R474" s="87" t="s">
        <v>72</v>
      </c>
      <c r="S474" s="87" t="s">
        <v>41</v>
      </c>
      <c r="T474" s="48" t="s">
        <v>42</v>
      </c>
      <c r="U474" s="41" t="s">
        <v>831</v>
      </c>
      <c r="V474" s="41" t="s">
        <v>74</v>
      </c>
      <c r="Z474" s="45">
        <v>43647.0</v>
      </c>
    </row>
    <row r="475">
      <c r="A475" s="81" t="s">
        <v>1829</v>
      </c>
      <c r="B475" s="41" t="s">
        <v>1830</v>
      </c>
      <c r="C475" s="46">
        <v>7346.73</v>
      </c>
      <c r="D475" s="47" t="str">
        <f>HYPERLINK("https://osu.ppy.sh/u/4539376","qyoh")</f>
        <v>qyoh</v>
      </c>
      <c r="E475" s="35" t="s">
        <v>28</v>
      </c>
      <c r="F475" s="63">
        <v>400.0</v>
      </c>
      <c r="G475" s="66" t="s">
        <v>29</v>
      </c>
      <c r="H475" s="37" t="s">
        <v>1831</v>
      </c>
      <c r="I475" s="37" t="s">
        <v>229</v>
      </c>
      <c r="J475" s="38" t="s">
        <v>32</v>
      </c>
      <c r="K475" s="39" t="s">
        <v>33</v>
      </c>
      <c r="L475" s="40" t="s">
        <v>263</v>
      </c>
      <c r="M475" s="40" t="s">
        <v>173</v>
      </c>
      <c r="N475" s="40" t="s">
        <v>140</v>
      </c>
      <c r="O475" s="1" t="s">
        <v>121</v>
      </c>
      <c r="P475" s="42" t="s">
        <v>84</v>
      </c>
      <c r="Q475" s="43" t="s">
        <v>175</v>
      </c>
      <c r="R475" s="43" t="s">
        <v>86</v>
      </c>
      <c r="S475" s="43" t="s">
        <v>41</v>
      </c>
      <c r="T475" s="61" t="s">
        <v>42</v>
      </c>
      <c r="U475" s="40" t="s">
        <v>1832</v>
      </c>
      <c r="V475" s="40" t="s">
        <v>1833</v>
      </c>
      <c r="Z475" s="45">
        <v>43922.0</v>
      </c>
      <c r="AA475" s="57"/>
    </row>
    <row r="476">
      <c r="A476" s="81" t="s">
        <v>1834</v>
      </c>
      <c r="B476" s="41" t="s">
        <v>1835</v>
      </c>
      <c r="C476" s="46">
        <v>7340.87</v>
      </c>
      <c r="D476" s="62" t="str">
        <f>HYPERLINK("https://osu.ppy.sh/u/7457788","DeathAdderz")</f>
        <v>DeathAdderz</v>
      </c>
      <c r="E476" s="61" t="s">
        <v>28</v>
      </c>
      <c r="F476" s="63">
        <v>1000.0</v>
      </c>
      <c r="G476" s="64" t="s">
        <v>29</v>
      </c>
      <c r="H476" s="64" t="s">
        <v>67</v>
      </c>
      <c r="I476" s="64" t="s">
        <v>106</v>
      </c>
      <c r="J476" s="67" t="s">
        <v>32</v>
      </c>
      <c r="K476" s="82"/>
      <c r="L476" s="40" t="s">
        <v>272</v>
      </c>
      <c r="M476" s="75" t="s">
        <v>1836</v>
      </c>
      <c r="N476" s="57"/>
      <c r="O476" s="57"/>
      <c r="P476" s="79"/>
      <c r="Q476" s="80"/>
      <c r="R476" s="80"/>
      <c r="S476" s="80"/>
      <c r="T476" s="57"/>
      <c r="U476" s="75" t="s">
        <v>62</v>
      </c>
      <c r="V476" s="75" t="s">
        <v>63</v>
      </c>
    </row>
    <row r="477">
      <c r="A477" s="81" t="s">
        <v>1837</v>
      </c>
      <c r="B477" s="41" t="s">
        <v>1838</v>
      </c>
      <c r="C477" s="46">
        <v>7324.09</v>
      </c>
      <c r="D477" s="83" t="str">
        <f>HYPERLINK("https://osu.ppy.sh/u/3645490","Agagak")</f>
        <v>Agagak</v>
      </c>
      <c r="E477" s="52" t="s">
        <v>28</v>
      </c>
      <c r="F477" s="100"/>
      <c r="G477" s="101"/>
      <c r="H477" s="101"/>
      <c r="I477" s="101"/>
      <c r="J477" s="49"/>
      <c r="K477" s="82"/>
      <c r="L477" s="69"/>
      <c r="M477" s="69"/>
      <c r="N477" s="69"/>
      <c r="O477" s="69"/>
      <c r="P477" s="79"/>
      <c r="Q477" s="80"/>
      <c r="R477" s="80"/>
      <c r="S477" s="80"/>
      <c r="T477" s="69"/>
      <c r="U477" s="69"/>
      <c r="V477" s="69"/>
      <c r="AA477" s="57"/>
    </row>
    <row r="478">
      <c r="A478" s="81" t="s">
        <v>1839</v>
      </c>
      <c r="B478" s="1" t="s">
        <v>1840</v>
      </c>
      <c r="C478" s="33">
        <v>7322.16</v>
      </c>
      <c r="D478" s="34" t="str">
        <f>HYPERLINK("https://osu.ppy.sh/u/3304713","transcendental")</f>
        <v>transcendental</v>
      </c>
      <c r="E478" s="41"/>
      <c r="F478" s="109"/>
      <c r="G478" s="53"/>
      <c r="H478" s="53"/>
      <c r="I478" s="53"/>
      <c r="J478" s="54"/>
      <c r="K478" s="60"/>
      <c r="P478" s="91"/>
      <c r="Q478" s="92"/>
      <c r="R478" s="92"/>
      <c r="S478" s="92"/>
      <c r="Z478" s="45"/>
    </row>
    <row r="479">
      <c r="A479" s="81" t="s">
        <v>1841</v>
      </c>
      <c r="B479" s="1" t="s">
        <v>1842</v>
      </c>
      <c r="C479" s="33">
        <v>7316.69</v>
      </c>
      <c r="D479" s="34" t="str">
        <f>HYPERLINK("https://osu.ppy.sh/u/7205359","Hakaliano")</f>
        <v>Hakaliano</v>
      </c>
      <c r="E479" s="52" t="s">
        <v>28</v>
      </c>
      <c r="F479" s="100"/>
      <c r="G479" s="101"/>
      <c r="H479" s="101"/>
      <c r="I479" s="101"/>
      <c r="J479" s="49"/>
      <c r="K479" s="82"/>
      <c r="L479" s="69"/>
      <c r="M479" s="69"/>
      <c r="N479" s="69"/>
      <c r="O479" s="69"/>
      <c r="P479" s="79"/>
      <c r="Q479" s="80"/>
      <c r="R479" s="80"/>
      <c r="S479" s="80"/>
      <c r="T479" s="69"/>
      <c r="U479" s="69"/>
      <c r="V479" s="69"/>
      <c r="AA479" s="57"/>
    </row>
    <row r="480">
      <c r="A480" s="81" t="s">
        <v>1843</v>
      </c>
      <c r="B480" s="1" t="s">
        <v>1844</v>
      </c>
      <c r="C480" s="33">
        <v>7304.92</v>
      </c>
      <c r="D480" s="34" t="str">
        <f>HYPERLINK("https://osu.ppy.sh/u/9062416","Nutorious")</f>
        <v>Nutorious</v>
      </c>
      <c r="E480" s="52" t="s">
        <v>28</v>
      </c>
      <c r="F480" s="48" t="s">
        <v>206</v>
      </c>
      <c r="G480" s="48" t="s">
        <v>29</v>
      </c>
      <c r="H480" s="48" t="s">
        <v>67</v>
      </c>
      <c r="I480" s="48" t="s">
        <v>31</v>
      </c>
      <c r="J480" s="59" t="s">
        <v>32</v>
      </c>
      <c r="K480" s="48" t="s">
        <v>1845</v>
      </c>
      <c r="L480" s="40" t="s">
        <v>207</v>
      </c>
      <c r="M480" s="55" t="s">
        <v>130</v>
      </c>
      <c r="N480" s="55" t="s">
        <v>1846</v>
      </c>
      <c r="O480" s="1" t="s">
        <v>70</v>
      </c>
      <c r="P480" s="72" t="s">
        <v>132</v>
      </c>
      <c r="Q480" s="73">
        <v>124.0</v>
      </c>
      <c r="R480" s="73">
        <v>68.0</v>
      </c>
      <c r="S480" s="73">
        <v>43.0</v>
      </c>
      <c r="T480" s="61" t="s">
        <v>42</v>
      </c>
      <c r="U480" s="55" t="s">
        <v>1847</v>
      </c>
      <c r="V480" s="55" t="s">
        <v>1693</v>
      </c>
      <c r="Z480" s="45">
        <v>44013.0</v>
      </c>
      <c r="AA480" s="57"/>
    </row>
    <row r="481">
      <c r="A481" s="81" t="s">
        <v>1848</v>
      </c>
      <c r="B481" s="1" t="s">
        <v>1849</v>
      </c>
      <c r="C481" s="33">
        <v>7296.18</v>
      </c>
      <c r="D481" s="34" t="str">
        <f>HYPERLINK("https://osu.ppy.sh/u/14385002","pwerus5")</f>
        <v>pwerus5</v>
      </c>
      <c r="E481" s="61" t="s">
        <v>28</v>
      </c>
      <c r="F481" s="36" t="s">
        <v>105</v>
      </c>
      <c r="G481" s="37" t="s">
        <v>29</v>
      </c>
      <c r="H481" s="37" t="s">
        <v>67</v>
      </c>
      <c r="I481" s="37" t="s">
        <v>106</v>
      </c>
      <c r="J481" s="59"/>
      <c r="K481" s="71">
        <v>1000.0</v>
      </c>
      <c r="L481" s="1" t="s">
        <v>107</v>
      </c>
      <c r="M481" s="41" t="s">
        <v>108</v>
      </c>
      <c r="N481" s="55" t="s">
        <v>1850</v>
      </c>
      <c r="O481" s="1" t="s">
        <v>109</v>
      </c>
      <c r="P481" s="85" t="s">
        <v>110</v>
      </c>
      <c r="Q481" s="86" t="s">
        <v>39</v>
      </c>
      <c r="R481" s="87" t="s">
        <v>72</v>
      </c>
      <c r="S481" s="87" t="s">
        <v>41</v>
      </c>
      <c r="T481" s="48" t="s">
        <v>42</v>
      </c>
      <c r="U481" s="55" t="s">
        <v>62</v>
      </c>
      <c r="V481" s="55" t="s">
        <v>63</v>
      </c>
      <c r="Z481" s="45">
        <v>44197.0</v>
      </c>
      <c r="AA481" s="57"/>
    </row>
    <row r="482">
      <c r="A482" s="81" t="s">
        <v>1851</v>
      </c>
      <c r="B482" s="1" t="s">
        <v>1852</v>
      </c>
      <c r="C482" s="33">
        <v>7294.61</v>
      </c>
      <c r="D482" s="34" t="str">
        <f>HYPERLINK("https://osu.ppy.sh/u/7409717","AngelKurumi")</f>
        <v>AngelKurumi</v>
      </c>
      <c r="E482" s="41" t="s">
        <v>28</v>
      </c>
      <c r="G482" s="53"/>
      <c r="I482" s="53"/>
      <c r="J482" s="54"/>
    </row>
    <row r="483">
      <c r="A483" s="81" t="s">
        <v>1853</v>
      </c>
      <c r="B483" s="1" t="s">
        <v>1854</v>
      </c>
      <c r="C483" s="33">
        <v>7279.14</v>
      </c>
      <c r="D483" s="34" t="str">
        <f>HYPERLINK("https://osu.ppy.sh/u/4585661","downy")</f>
        <v>downy</v>
      </c>
      <c r="E483" s="41" t="s">
        <v>28</v>
      </c>
      <c r="G483" s="53"/>
      <c r="I483" s="53"/>
      <c r="J483" s="54"/>
      <c r="O483" s="1" t="s">
        <v>70</v>
      </c>
      <c r="P483" s="72" t="s">
        <v>132</v>
      </c>
      <c r="Q483" s="73">
        <v>124.0</v>
      </c>
      <c r="R483" s="73">
        <v>68.0</v>
      </c>
      <c r="S483" s="73">
        <v>43.0</v>
      </c>
      <c r="T483" s="61" t="s">
        <v>42</v>
      </c>
    </row>
    <row r="484">
      <c r="A484" s="81" t="s">
        <v>1855</v>
      </c>
      <c r="B484" s="1" t="s">
        <v>1856</v>
      </c>
      <c r="C484" s="33">
        <v>7275.9</v>
      </c>
      <c r="D484" s="34" t="str">
        <f>HYPERLINK("https://osu.ppy.sh/u/1604056","Melodia")</f>
        <v>Melodia</v>
      </c>
      <c r="E484" s="52" t="s">
        <v>571</v>
      </c>
      <c r="F484" s="36">
        <v>800.0</v>
      </c>
      <c r="G484" s="37" t="s">
        <v>29</v>
      </c>
      <c r="H484" s="48" t="s">
        <v>1127</v>
      </c>
      <c r="I484" s="48" t="s">
        <v>1857</v>
      </c>
      <c r="J484" s="59"/>
      <c r="K484" s="53"/>
      <c r="L484" s="1" t="s">
        <v>1858</v>
      </c>
      <c r="M484" s="40" t="s">
        <v>130</v>
      </c>
      <c r="N484" s="55" t="s">
        <v>1859</v>
      </c>
      <c r="O484" s="1" t="s">
        <v>70</v>
      </c>
      <c r="P484" s="72" t="s">
        <v>132</v>
      </c>
      <c r="Q484" s="73">
        <v>124.0</v>
      </c>
      <c r="R484" s="73">
        <v>68.0</v>
      </c>
      <c r="S484" s="73">
        <v>43.0</v>
      </c>
      <c r="T484" s="61" t="s">
        <v>42</v>
      </c>
      <c r="U484" s="55"/>
      <c r="V484" s="55"/>
      <c r="Z484" s="45">
        <v>44197.0</v>
      </c>
      <c r="AA484" s="57"/>
    </row>
    <row r="485">
      <c r="A485" s="81" t="s">
        <v>1860</v>
      </c>
      <c r="B485" s="41" t="s">
        <v>1861</v>
      </c>
      <c r="C485" s="46">
        <v>7273.41</v>
      </c>
      <c r="D485" s="47" t="str">
        <f>HYPERLINK("https://osu.ppy.sh/u/8336841","Playtime")</f>
        <v>Playtime</v>
      </c>
      <c r="E485" s="52" t="s">
        <v>28</v>
      </c>
      <c r="F485" s="36" t="s">
        <v>335</v>
      </c>
      <c r="G485" s="37" t="s">
        <v>29</v>
      </c>
      <c r="H485" s="37" t="s">
        <v>578</v>
      </c>
      <c r="I485" s="37" t="s">
        <v>31</v>
      </c>
      <c r="J485" s="38" t="s">
        <v>32</v>
      </c>
      <c r="K485" s="39" t="s">
        <v>1029</v>
      </c>
      <c r="L485" s="40" t="s">
        <v>678</v>
      </c>
      <c r="M485" s="40" t="s">
        <v>1862</v>
      </c>
      <c r="N485" s="40" t="s">
        <v>1863</v>
      </c>
      <c r="O485" s="41" t="s">
        <v>987</v>
      </c>
      <c r="P485" s="79"/>
      <c r="Q485" s="80"/>
      <c r="R485" s="80"/>
      <c r="S485" s="80"/>
      <c r="T485" s="69"/>
      <c r="U485" s="40" t="s">
        <v>62</v>
      </c>
      <c r="V485" s="40" t="s">
        <v>63</v>
      </c>
      <c r="Z485" s="45">
        <v>43344.0</v>
      </c>
    </row>
    <row r="486">
      <c r="A486" s="81" t="s">
        <v>1864</v>
      </c>
      <c r="B486" s="41" t="s">
        <v>1865</v>
      </c>
      <c r="C486" s="46">
        <v>7270.37</v>
      </c>
      <c r="D486" s="62" t="str">
        <f>HYPERLINK("https://osu.ppy.sh/u/3633477","TequilaWolf")</f>
        <v>TequilaWolf</v>
      </c>
      <c r="E486" s="35" t="s">
        <v>28</v>
      </c>
      <c r="F486" s="63">
        <v>400.0</v>
      </c>
      <c r="G486" s="66" t="s">
        <v>29</v>
      </c>
      <c r="H486" s="66" t="s">
        <v>67</v>
      </c>
      <c r="I486" s="66" t="s">
        <v>106</v>
      </c>
      <c r="J486" s="70" t="s">
        <v>192</v>
      </c>
      <c r="K486" s="82"/>
      <c r="L486" s="61" t="s">
        <v>1377</v>
      </c>
      <c r="M486" s="75" t="s">
        <v>406</v>
      </c>
      <c r="N486" s="75" t="s">
        <v>780</v>
      </c>
      <c r="O486" s="35" t="s">
        <v>408</v>
      </c>
      <c r="P486" s="72">
        <v>105.0</v>
      </c>
      <c r="Q486" s="73">
        <v>130.0</v>
      </c>
      <c r="R486" s="73">
        <v>70.0</v>
      </c>
      <c r="S486" s="73">
        <v>43.0</v>
      </c>
      <c r="T486" s="61" t="s">
        <v>42</v>
      </c>
      <c r="U486" s="35" t="s">
        <v>1866</v>
      </c>
      <c r="V486" s="35" t="s">
        <v>63</v>
      </c>
    </row>
    <row r="487">
      <c r="A487" s="81" t="s">
        <v>1867</v>
      </c>
      <c r="B487" s="111" t="s">
        <v>423</v>
      </c>
      <c r="C487" s="112">
        <v>7264.94</v>
      </c>
      <c r="D487" s="113" t="str">
        <f>HYPERLINK("https://osu.ppy.sh/u/11195685","iSberg")</f>
        <v>iSberg</v>
      </c>
      <c r="E487" s="52" t="s">
        <v>28</v>
      </c>
      <c r="F487" s="36" t="s">
        <v>105</v>
      </c>
      <c r="G487" s="37" t="s">
        <v>29</v>
      </c>
      <c r="H487" s="48" t="s">
        <v>1868</v>
      </c>
      <c r="I487" s="48" t="s">
        <v>31</v>
      </c>
      <c r="J487" s="59" t="s">
        <v>32</v>
      </c>
      <c r="K487" s="48" t="s">
        <v>81</v>
      </c>
      <c r="L487" s="40" t="s">
        <v>222</v>
      </c>
      <c r="M487" s="55" t="s">
        <v>798</v>
      </c>
      <c r="N487" s="55" t="s">
        <v>1869</v>
      </c>
      <c r="O487" s="56"/>
      <c r="P487" s="56"/>
      <c r="Q487" s="56"/>
      <c r="R487" s="56"/>
      <c r="S487" s="56"/>
      <c r="T487" s="56"/>
      <c r="U487" s="55" t="s">
        <v>1870</v>
      </c>
      <c r="V487" s="55" t="s">
        <v>74</v>
      </c>
      <c r="Z487" s="45">
        <v>44013.0</v>
      </c>
      <c r="AA487" s="57"/>
    </row>
    <row r="488">
      <c r="A488" s="81" t="s">
        <v>1871</v>
      </c>
      <c r="B488" s="41" t="s">
        <v>1872</v>
      </c>
      <c r="C488" s="46">
        <v>7260.81</v>
      </c>
      <c r="D488" s="47" t="str">
        <f>HYPERLINK("https://osu.ppy.sh/u/1285128","samsam2233")</f>
        <v>samsam2233</v>
      </c>
      <c r="E488" s="52" t="s">
        <v>28</v>
      </c>
      <c r="F488" s="100"/>
      <c r="G488" s="101"/>
      <c r="H488" s="101"/>
      <c r="I488" s="101"/>
      <c r="J488" s="49"/>
      <c r="K488" s="82"/>
      <c r="L488" s="69"/>
      <c r="M488" s="69"/>
      <c r="N488" s="69"/>
      <c r="O488" s="69"/>
      <c r="P488" s="79"/>
      <c r="Q488" s="80"/>
      <c r="R488" s="80"/>
      <c r="S488" s="80"/>
      <c r="T488" s="69"/>
      <c r="U488" s="69"/>
      <c r="V488" s="69"/>
    </row>
    <row r="489">
      <c r="A489" s="81" t="s">
        <v>1873</v>
      </c>
      <c r="B489" s="1" t="s">
        <v>1874</v>
      </c>
      <c r="C489" s="33">
        <v>7257.86</v>
      </c>
      <c r="D489" s="34" t="str">
        <f>HYPERLINK("https://osu.ppy.sh/u/9597887","Wei_Kai")</f>
        <v>Wei_Kai</v>
      </c>
      <c r="E489" s="1" t="s">
        <v>28</v>
      </c>
      <c r="F489" s="48" t="s">
        <v>813</v>
      </c>
      <c r="G489" s="48" t="s">
        <v>29</v>
      </c>
      <c r="H489" s="48" t="s">
        <v>67</v>
      </c>
      <c r="I489" s="37" t="s">
        <v>242</v>
      </c>
      <c r="J489" s="59" t="s">
        <v>192</v>
      </c>
      <c r="K489" s="48" t="s">
        <v>33</v>
      </c>
      <c r="L489" s="1" t="s">
        <v>68</v>
      </c>
      <c r="M489" s="55" t="s">
        <v>100</v>
      </c>
      <c r="N489" s="55" t="s">
        <v>430</v>
      </c>
      <c r="O489" s="35" t="s">
        <v>101</v>
      </c>
      <c r="P489" s="72">
        <v>105.0</v>
      </c>
      <c r="Q489" s="73">
        <v>127.0</v>
      </c>
      <c r="R489" s="73">
        <v>70.0</v>
      </c>
      <c r="S489" s="73">
        <v>44.0</v>
      </c>
      <c r="T489" s="44" t="s">
        <v>42</v>
      </c>
      <c r="U489" s="55" t="s">
        <v>1875</v>
      </c>
      <c r="V489" s="55" t="s">
        <v>74</v>
      </c>
      <c r="Z489" s="45">
        <v>44256.0</v>
      </c>
      <c r="AA489" s="57"/>
    </row>
    <row r="490">
      <c r="A490" s="81" t="s">
        <v>1876</v>
      </c>
      <c r="B490" s="1" t="s">
        <v>1877</v>
      </c>
      <c r="C490" s="33">
        <v>7256.48</v>
      </c>
      <c r="D490" s="34" t="str">
        <f>HYPERLINK("https://osu.ppy.sh/u/8070357","Itou")</f>
        <v>Itou</v>
      </c>
      <c r="E490" s="52" t="s">
        <v>28</v>
      </c>
      <c r="F490" s="58" t="s">
        <v>779</v>
      </c>
      <c r="G490" s="48" t="s">
        <v>29</v>
      </c>
      <c r="H490" s="48" t="s">
        <v>67</v>
      </c>
      <c r="I490" s="48" t="s">
        <v>1316</v>
      </c>
      <c r="J490" s="59" t="s">
        <v>32</v>
      </c>
      <c r="K490" s="60"/>
      <c r="L490" s="1" t="s">
        <v>755</v>
      </c>
      <c r="M490" s="1" t="s">
        <v>199</v>
      </c>
      <c r="N490" s="1" t="s">
        <v>780</v>
      </c>
      <c r="O490" s="35" t="s">
        <v>201</v>
      </c>
      <c r="P490" s="72">
        <v>103.0</v>
      </c>
      <c r="Q490" s="73">
        <v>136.0</v>
      </c>
      <c r="R490" s="73">
        <v>72.0</v>
      </c>
      <c r="S490" s="73">
        <v>41.0</v>
      </c>
      <c r="T490" s="61" t="s">
        <v>42</v>
      </c>
      <c r="U490" s="1" t="s">
        <v>1878</v>
      </c>
      <c r="V490" s="1" t="s">
        <v>74</v>
      </c>
      <c r="Z490" s="45">
        <v>43132.0</v>
      </c>
    </row>
    <row r="491">
      <c r="A491" s="81" t="s">
        <v>428</v>
      </c>
      <c r="B491" s="1" t="s">
        <v>1879</v>
      </c>
      <c r="C491" s="33">
        <v>7241.77</v>
      </c>
      <c r="D491" s="34" t="str">
        <f>HYPERLINK("https://osu.ppy.sh/u/5086872","Syubi")</f>
        <v>Syubi</v>
      </c>
      <c r="E491" s="61" t="s">
        <v>28</v>
      </c>
      <c r="F491" s="36">
        <v>1300.0</v>
      </c>
      <c r="G491" s="37" t="s">
        <v>29</v>
      </c>
      <c r="H491" s="37" t="s">
        <v>67</v>
      </c>
      <c r="I491" s="37" t="s">
        <v>31</v>
      </c>
      <c r="J491" s="38"/>
      <c r="K491" s="82"/>
      <c r="L491" s="40" t="s">
        <v>99</v>
      </c>
      <c r="M491" s="40" t="s">
        <v>238</v>
      </c>
      <c r="N491" s="40" t="s">
        <v>1880</v>
      </c>
      <c r="O491" s="35" t="s">
        <v>70</v>
      </c>
      <c r="P491" s="72">
        <v>126.0</v>
      </c>
      <c r="Q491" s="73">
        <v>128.0</v>
      </c>
      <c r="R491" s="73">
        <v>76.0</v>
      </c>
      <c r="S491" s="73">
        <v>42.0</v>
      </c>
      <c r="T491" s="52" t="s">
        <v>42</v>
      </c>
      <c r="U491" s="40" t="s">
        <v>977</v>
      </c>
      <c r="V491" s="40" t="s">
        <v>1881</v>
      </c>
      <c r="Z491" s="45">
        <v>43132.0</v>
      </c>
      <c r="AA491" s="57"/>
    </row>
    <row r="492">
      <c r="A492" s="81" t="s">
        <v>1882</v>
      </c>
      <c r="B492" s="1" t="s">
        <v>1883</v>
      </c>
      <c r="C492" s="33">
        <v>7228.47</v>
      </c>
      <c r="D492" s="162" t="str">
        <f>HYPERLINK("https://osu.ppy.sh/u/12158580","JustKnow")</f>
        <v>JustKnow</v>
      </c>
      <c r="E492" s="1" t="s">
        <v>28</v>
      </c>
      <c r="F492" s="36">
        <v>800.0</v>
      </c>
      <c r="G492" s="48" t="s">
        <v>29</v>
      </c>
      <c r="H492" s="163" t="s">
        <v>578</v>
      </c>
      <c r="I492" s="37" t="s">
        <v>31</v>
      </c>
      <c r="J492" s="164" t="s">
        <v>32</v>
      </c>
      <c r="K492" s="163" t="s">
        <v>81</v>
      </c>
      <c r="L492" s="52" t="s">
        <v>222</v>
      </c>
      <c r="M492" s="165" t="s">
        <v>1884</v>
      </c>
      <c r="N492" s="165" t="s">
        <v>1113</v>
      </c>
      <c r="O492" s="1"/>
      <c r="P492" s="85"/>
      <c r="Q492" s="86"/>
      <c r="R492" s="87"/>
      <c r="S492" s="87"/>
      <c r="T492" s="110"/>
      <c r="U492" s="165" t="s">
        <v>1885</v>
      </c>
      <c r="V492" s="165" t="s">
        <v>1886</v>
      </c>
      <c r="Z492" s="166">
        <v>44256.0</v>
      </c>
      <c r="AA492" s="57"/>
    </row>
    <row r="493">
      <c r="A493" s="81" t="s">
        <v>1887</v>
      </c>
      <c r="B493" s="1" t="s">
        <v>1888</v>
      </c>
      <c r="C493" s="33">
        <v>7225.7</v>
      </c>
      <c r="D493" s="34" t="str">
        <f>HYPERLINK("https://osu.ppy.sh/u/5018017","Rarth")</f>
        <v>Rarth</v>
      </c>
      <c r="E493" s="41" t="s">
        <v>28</v>
      </c>
      <c r="G493" s="53"/>
      <c r="I493" s="53"/>
      <c r="J493" s="54"/>
    </row>
    <row r="494">
      <c r="A494" s="81" t="s">
        <v>1889</v>
      </c>
      <c r="B494" s="41" t="s">
        <v>1890</v>
      </c>
      <c r="C494" s="46">
        <v>7223.95</v>
      </c>
      <c r="D494" s="62" t="str">
        <f>HYPERLINK("https://osu.ppy.sh/u/8606212","devvr")</f>
        <v>devvr</v>
      </c>
      <c r="E494" s="52" t="s">
        <v>28</v>
      </c>
      <c r="F494" s="100"/>
      <c r="G494" s="101"/>
      <c r="H494" s="101"/>
      <c r="I494" s="101"/>
      <c r="J494" s="49"/>
      <c r="K494" s="82"/>
      <c r="L494" s="69"/>
      <c r="M494" s="69"/>
      <c r="N494" s="69"/>
      <c r="O494" s="69"/>
      <c r="P494" s="79"/>
      <c r="Q494" s="80"/>
      <c r="R494" s="80"/>
      <c r="S494" s="80"/>
      <c r="T494" s="69"/>
      <c r="U494" s="69"/>
      <c r="V494" s="69"/>
      <c r="AA494" s="57"/>
    </row>
    <row r="495">
      <c r="A495" s="81" t="s">
        <v>1891</v>
      </c>
      <c r="B495" s="122" t="s">
        <v>1892</v>
      </c>
      <c r="C495" s="123">
        <v>7213.83</v>
      </c>
      <c r="D495" s="124" t="str">
        <f>HYPERLINK("https://osu.ppy.sh/u/10903029","AngeLMegum1n")</f>
        <v>AngeLMegum1n</v>
      </c>
      <c r="E495" s="52" t="s">
        <v>28</v>
      </c>
      <c r="F495" s="36" t="s">
        <v>303</v>
      </c>
      <c r="G495" s="37" t="s">
        <v>29</v>
      </c>
      <c r="H495" s="37" t="s">
        <v>67</v>
      </c>
      <c r="I495" s="37" t="s">
        <v>579</v>
      </c>
      <c r="J495" s="38" t="s">
        <v>32</v>
      </c>
      <c r="K495" s="39" t="s">
        <v>33</v>
      </c>
      <c r="L495" s="40" t="s">
        <v>807</v>
      </c>
      <c r="M495" s="40" t="s">
        <v>288</v>
      </c>
      <c r="N495" s="40" t="s">
        <v>148</v>
      </c>
      <c r="O495" s="41" t="s">
        <v>109</v>
      </c>
      <c r="P495" s="42">
        <v>85.0</v>
      </c>
      <c r="Q495" s="43">
        <v>117.0</v>
      </c>
      <c r="R495" s="43">
        <v>62.0</v>
      </c>
      <c r="S495" s="43">
        <v>38.0</v>
      </c>
      <c r="T495" s="40" t="s">
        <v>42</v>
      </c>
      <c r="U495" s="40" t="s">
        <v>1893</v>
      </c>
      <c r="V495" s="40" t="s">
        <v>89</v>
      </c>
      <c r="Z495" s="45">
        <v>43556.0</v>
      </c>
    </row>
    <row r="496">
      <c r="A496" s="81" t="s">
        <v>1894</v>
      </c>
      <c r="B496" s="41" t="s">
        <v>1895</v>
      </c>
      <c r="C496" s="46">
        <v>7212.8</v>
      </c>
      <c r="D496" s="62" t="str">
        <f>HYPERLINK("https://osu.ppy.sh/u/2039647","YoKoNikov")</f>
        <v>YoKoNikov</v>
      </c>
      <c r="E496" s="40" t="s">
        <v>1896</v>
      </c>
      <c r="F496" s="36">
        <v>1050.0</v>
      </c>
      <c r="G496" s="37" t="s">
        <v>29</v>
      </c>
      <c r="H496" s="37" t="s">
        <v>67</v>
      </c>
      <c r="I496" s="37" t="s">
        <v>31</v>
      </c>
      <c r="J496" s="38" t="s">
        <v>192</v>
      </c>
      <c r="K496" s="39">
        <v>125.0</v>
      </c>
      <c r="L496" s="40" t="s">
        <v>305</v>
      </c>
      <c r="M496" s="40" t="s">
        <v>1897</v>
      </c>
      <c r="N496" s="40" t="s">
        <v>179</v>
      </c>
      <c r="O496" s="35" t="s">
        <v>314</v>
      </c>
      <c r="P496" s="42" t="s">
        <v>801</v>
      </c>
      <c r="Q496" s="43" t="s">
        <v>367</v>
      </c>
      <c r="R496" s="43" t="s">
        <v>347</v>
      </c>
      <c r="S496" s="43" t="s">
        <v>368</v>
      </c>
      <c r="T496" s="44" t="s">
        <v>42</v>
      </c>
      <c r="U496" s="40" t="s">
        <v>1617</v>
      </c>
      <c r="V496" s="44" t="s">
        <v>42</v>
      </c>
      <c r="Z496" s="45">
        <v>42795.0</v>
      </c>
    </row>
    <row r="497">
      <c r="A497" s="81" t="s">
        <v>1898</v>
      </c>
      <c r="B497" s="1" t="s">
        <v>1899</v>
      </c>
      <c r="C497" s="33">
        <v>7212.03</v>
      </c>
      <c r="D497" s="34" t="str">
        <f>HYPERLINK("https://osu.ppy.sh/u/3602157","Ruhe")</f>
        <v>Ruhe</v>
      </c>
      <c r="E497" s="1" t="s">
        <v>28</v>
      </c>
      <c r="G497" s="53"/>
      <c r="I497" s="53"/>
      <c r="J497" s="54"/>
    </row>
    <row r="498">
      <c r="A498" s="81" t="s">
        <v>1900</v>
      </c>
      <c r="B498" s="41" t="s">
        <v>1901</v>
      </c>
      <c r="C498" s="46">
        <v>7211.45</v>
      </c>
      <c r="D498" s="47" t="str">
        <f>HYPERLINK("https://osu.ppy.sh/u/4516191","Reconnect_")</f>
        <v>Reconnect_</v>
      </c>
      <c r="E498" s="52" t="s">
        <v>28</v>
      </c>
      <c r="F498" s="36" t="s">
        <v>58</v>
      </c>
      <c r="G498" s="37" t="s">
        <v>29</v>
      </c>
      <c r="H498" s="37" t="s">
        <v>67</v>
      </c>
      <c r="I498" s="37" t="s">
        <v>31</v>
      </c>
      <c r="J498" s="38" t="s">
        <v>32</v>
      </c>
      <c r="K498" s="39" t="s">
        <v>81</v>
      </c>
      <c r="L498" s="40" t="s">
        <v>257</v>
      </c>
      <c r="M498" s="40" t="s">
        <v>288</v>
      </c>
      <c r="N498" s="40" t="s">
        <v>61</v>
      </c>
      <c r="O498" s="41" t="s">
        <v>109</v>
      </c>
      <c r="P498" s="42">
        <v>85.0</v>
      </c>
      <c r="Q498" s="43">
        <v>117.0</v>
      </c>
      <c r="R498" s="43">
        <v>62.0</v>
      </c>
      <c r="S498" s="43">
        <v>38.0</v>
      </c>
      <c r="T498" s="40" t="s">
        <v>42</v>
      </c>
      <c r="U498" s="40" t="s">
        <v>1902</v>
      </c>
      <c r="V498" s="40" t="s">
        <v>94</v>
      </c>
      <c r="Z498" s="45">
        <v>43191.0</v>
      </c>
      <c r="AA498" s="57"/>
    </row>
    <row r="499">
      <c r="A499" s="81" t="s">
        <v>1903</v>
      </c>
      <c r="B499" s="41" t="s">
        <v>1904</v>
      </c>
      <c r="C499" s="46">
        <v>7208.34</v>
      </c>
      <c r="D499" s="62" t="str">
        <f>HYPERLINK("https://osu.ppy.sh/u/750382","LoGo")</f>
        <v>LoGo</v>
      </c>
      <c r="E499" s="61" t="s">
        <v>28</v>
      </c>
      <c r="F499" s="63">
        <v>400.0</v>
      </c>
      <c r="G499" s="66" t="s">
        <v>29</v>
      </c>
      <c r="H499" s="66" t="s">
        <v>67</v>
      </c>
      <c r="I499" s="66" t="s">
        <v>421</v>
      </c>
      <c r="J499" s="49"/>
      <c r="K499" s="82"/>
      <c r="L499" s="61" t="s">
        <v>1377</v>
      </c>
      <c r="M499" s="35" t="s">
        <v>1905</v>
      </c>
      <c r="N499" s="69"/>
      <c r="O499" s="35" t="s">
        <v>1423</v>
      </c>
      <c r="P499" s="72">
        <v>103.0</v>
      </c>
      <c r="Q499" s="73">
        <v>132.0</v>
      </c>
      <c r="R499" s="73">
        <v>69.0</v>
      </c>
      <c r="S499" s="73">
        <v>44.0</v>
      </c>
      <c r="T499" s="61" t="s">
        <v>1906</v>
      </c>
      <c r="U499" s="69"/>
      <c r="V499" s="35" t="s">
        <v>1907</v>
      </c>
    </row>
    <row r="500">
      <c r="A500" s="81" t="s">
        <v>432</v>
      </c>
      <c r="B500" s="41" t="s">
        <v>1908</v>
      </c>
      <c r="C500" s="46">
        <v>7202.2</v>
      </c>
      <c r="D500" s="83" t="str">
        <f>HYPERLINK("https://osu.ppy.sh/u/6228656","BonanzaBlast")</f>
        <v>BonanzaBlast</v>
      </c>
      <c r="E500" s="52" t="s">
        <v>28</v>
      </c>
      <c r="F500" s="36">
        <v>800.0</v>
      </c>
      <c r="G500" s="37" t="s">
        <v>29</v>
      </c>
      <c r="H500" s="37" t="s">
        <v>67</v>
      </c>
      <c r="I500" s="37" t="s">
        <v>242</v>
      </c>
      <c r="J500" s="38" t="s">
        <v>32</v>
      </c>
      <c r="K500" s="39">
        <v>1000.0</v>
      </c>
      <c r="L500" s="40" t="s">
        <v>243</v>
      </c>
      <c r="M500" s="40" t="s">
        <v>277</v>
      </c>
      <c r="N500" s="40" t="s">
        <v>1611</v>
      </c>
      <c r="O500" s="69"/>
      <c r="P500" s="79"/>
      <c r="Q500" s="80"/>
      <c r="R500" s="80"/>
      <c r="S500" s="80"/>
      <c r="T500" s="69"/>
      <c r="U500" s="40" t="s">
        <v>180</v>
      </c>
      <c r="V500" s="40" t="s">
        <v>89</v>
      </c>
      <c r="Z500" s="45">
        <v>42887.0</v>
      </c>
    </row>
    <row r="501">
      <c r="A501" s="81" t="s">
        <v>1909</v>
      </c>
      <c r="B501" s="41" t="s">
        <v>1910</v>
      </c>
      <c r="C501" s="46">
        <v>7201.48</v>
      </c>
      <c r="D501" s="47" t="str">
        <f>HYPERLINK("https://osu.ppy.sh/u/772295","phox")</f>
        <v>phox</v>
      </c>
      <c r="E501" s="52" t="s">
        <v>28</v>
      </c>
      <c r="F501" s="36" t="s">
        <v>77</v>
      </c>
      <c r="G501" s="37" t="s">
        <v>29</v>
      </c>
      <c r="H501" s="37" t="s">
        <v>67</v>
      </c>
      <c r="I501" s="37" t="s">
        <v>267</v>
      </c>
      <c r="J501" s="38" t="s">
        <v>32</v>
      </c>
      <c r="K501" s="82"/>
      <c r="L501" s="40" t="s">
        <v>257</v>
      </c>
      <c r="M501" s="40" t="s">
        <v>1911</v>
      </c>
      <c r="N501" s="40" t="s">
        <v>430</v>
      </c>
      <c r="O501" s="69"/>
      <c r="P501" s="79"/>
      <c r="Q501" s="80"/>
      <c r="R501" s="80"/>
      <c r="S501" s="80"/>
      <c r="T501" s="69"/>
      <c r="U501" s="69"/>
      <c r="V501" s="69"/>
      <c r="Z501" s="45">
        <v>43282.0</v>
      </c>
    </row>
    <row r="502">
      <c r="A502" s="81" t="s">
        <v>1912</v>
      </c>
      <c r="B502" s="1" t="s">
        <v>1913</v>
      </c>
      <c r="C502" s="33">
        <v>7200.39</v>
      </c>
      <c r="D502" s="34" t="str">
        <f>HYPERLINK("https://osu.ppy.sh/u/5198953","Yumeko")</f>
        <v>Yumeko</v>
      </c>
      <c r="E502" s="41" t="s">
        <v>28</v>
      </c>
      <c r="J502" s="54"/>
      <c r="K502" s="60"/>
      <c r="P502" s="91"/>
      <c r="Q502" s="92"/>
      <c r="R502" s="92"/>
      <c r="S502" s="92"/>
      <c r="Z502" s="45"/>
    </row>
    <row r="503">
      <c r="A503" s="81" t="s">
        <v>438</v>
      </c>
      <c r="B503" s="41" t="s">
        <v>1914</v>
      </c>
      <c r="C503" s="46">
        <v>7200.18</v>
      </c>
      <c r="D503" s="62" t="str">
        <f>HYPERLINK("https://osu.ppy.sh/u/949804","Virrus")</f>
        <v>Virrus</v>
      </c>
      <c r="E503" s="61" t="s">
        <v>28</v>
      </c>
      <c r="F503" s="100"/>
      <c r="G503" s="101"/>
      <c r="H503" s="101"/>
      <c r="I503" s="101"/>
      <c r="J503" s="129"/>
      <c r="K503" s="82"/>
      <c r="L503" s="69"/>
      <c r="M503" s="69"/>
      <c r="N503" s="57"/>
      <c r="O503" s="69"/>
      <c r="P503" s="79"/>
      <c r="Q503" s="80"/>
      <c r="R503" s="80"/>
      <c r="S503" s="80"/>
      <c r="T503" s="57"/>
      <c r="U503" s="57"/>
      <c r="V503" s="57"/>
    </row>
    <row r="504">
      <c r="A504" s="81" t="s">
        <v>1915</v>
      </c>
      <c r="B504" s="41" t="s">
        <v>1916</v>
      </c>
      <c r="C504" s="46">
        <v>7198.71</v>
      </c>
      <c r="D504" s="47" t="str">
        <f>HYPERLINK("https://osu.ppy.sh/u/3786620","Pickxarro")</f>
        <v>Pickxarro</v>
      </c>
      <c r="E504" s="61" t="s">
        <v>28</v>
      </c>
      <c r="F504" s="100"/>
      <c r="G504" s="101"/>
      <c r="H504" s="101"/>
      <c r="I504" s="101"/>
      <c r="J504" s="49"/>
      <c r="K504" s="82"/>
      <c r="L504" s="69"/>
      <c r="M504" s="69"/>
      <c r="N504" s="69"/>
      <c r="O504" s="69"/>
      <c r="P504" s="79"/>
      <c r="Q504" s="80"/>
      <c r="R504" s="80"/>
      <c r="S504" s="80"/>
      <c r="T504" s="69"/>
      <c r="U504" s="69"/>
      <c r="V504" s="69"/>
      <c r="AA504" s="57"/>
    </row>
    <row r="505">
      <c r="A505" s="81" t="s">
        <v>1917</v>
      </c>
      <c r="B505" s="41" t="s">
        <v>1918</v>
      </c>
      <c r="C505" s="46">
        <v>7197.05</v>
      </c>
      <c r="D505" s="47" t="str">
        <f>HYPERLINK("https://osu.ppy.sh/u/7433950","GameGear")</f>
        <v>GameGear</v>
      </c>
      <c r="E505" s="52" t="s">
        <v>28</v>
      </c>
      <c r="F505" s="100"/>
      <c r="G505" s="101"/>
      <c r="H505" s="101"/>
      <c r="I505" s="101"/>
      <c r="J505" s="49"/>
      <c r="K505" s="82"/>
      <c r="L505" s="69"/>
      <c r="M505" s="69"/>
      <c r="N505" s="69"/>
      <c r="O505" s="69"/>
      <c r="P505" s="79"/>
      <c r="Q505" s="80"/>
      <c r="R505" s="80"/>
      <c r="S505" s="80"/>
      <c r="T505" s="69"/>
      <c r="U505" s="69"/>
      <c r="V505" s="69"/>
      <c r="AA505" s="57"/>
    </row>
    <row r="506">
      <c r="A506" s="81" t="s">
        <v>1919</v>
      </c>
      <c r="B506" s="1" t="s">
        <v>1920</v>
      </c>
      <c r="C506" s="33">
        <v>7189.41</v>
      </c>
      <c r="D506" s="34" t="str">
        <f>HYPERLINK("https://osu.ppy.sh/u/13035814","s4pph")</f>
        <v>s4pph</v>
      </c>
      <c r="E506" s="61" t="s">
        <v>28</v>
      </c>
      <c r="F506" s="58" t="s">
        <v>105</v>
      </c>
      <c r="G506" s="48" t="s">
        <v>29</v>
      </c>
      <c r="H506" s="66" t="s">
        <v>67</v>
      </c>
      <c r="I506" s="48" t="s">
        <v>31</v>
      </c>
      <c r="J506" s="70" t="s">
        <v>32</v>
      </c>
      <c r="K506" s="48" t="s">
        <v>33</v>
      </c>
      <c r="L506" s="52" t="s">
        <v>222</v>
      </c>
      <c r="M506" s="55" t="s">
        <v>147</v>
      </c>
      <c r="N506" s="55" t="s">
        <v>1921</v>
      </c>
      <c r="O506" s="1" t="s">
        <v>149</v>
      </c>
      <c r="P506" s="48" t="s">
        <v>150</v>
      </c>
      <c r="Q506" s="73" t="s">
        <v>151</v>
      </c>
      <c r="R506" s="48" t="s">
        <v>152</v>
      </c>
      <c r="S506" s="48" t="s">
        <v>41</v>
      </c>
      <c r="T506" s="52" t="s">
        <v>153</v>
      </c>
      <c r="U506" s="55" t="s">
        <v>209</v>
      </c>
      <c r="V506" s="55" t="s">
        <v>209</v>
      </c>
      <c r="Z506" s="45">
        <v>44105.0</v>
      </c>
      <c r="AA506" s="57"/>
    </row>
    <row r="507">
      <c r="A507" s="81" t="s">
        <v>1922</v>
      </c>
      <c r="B507" s="1" t="s">
        <v>1923</v>
      </c>
      <c r="C507" s="33">
        <v>7189.35</v>
      </c>
      <c r="D507" s="34" t="str">
        <f>HYPERLINK("https://osu.ppy.sh/u/1654186","ColdTooth")</f>
        <v>ColdTooth</v>
      </c>
      <c r="E507" s="41" t="s">
        <v>28</v>
      </c>
      <c r="F507" s="140">
        <v>1250.0</v>
      </c>
      <c r="G507" s="48" t="s">
        <v>29</v>
      </c>
      <c r="H507" s="48" t="s">
        <v>806</v>
      </c>
      <c r="I507" s="48" t="s">
        <v>31</v>
      </c>
      <c r="J507" s="54"/>
      <c r="K507" s="53"/>
      <c r="L507" s="1" t="s">
        <v>1924</v>
      </c>
      <c r="M507" s="55" t="s">
        <v>380</v>
      </c>
      <c r="N507" s="56"/>
      <c r="O507" s="1" t="s">
        <v>141</v>
      </c>
      <c r="P507" s="42">
        <v>126.0</v>
      </c>
      <c r="Q507" s="43">
        <v>128.0</v>
      </c>
      <c r="R507" s="43">
        <v>76.0</v>
      </c>
      <c r="S507" s="43">
        <v>42.0</v>
      </c>
      <c r="T507" s="61" t="s">
        <v>42</v>
      </c>
      <c r="U507" s="55" t="s">
        <v>992</v>
      </c>
      <c r="V507" s="55" t="s">
        <v>63</v>
      </c>
      <c r="Z507" s="45">
        <v>44044.0</v>
      </c>
      <c r="AA507" s="57"/>
    </row>
    <row r="508">
      <c r="A508" s="81" t="s">
        <v>1925</v>
      </c>
      <c r="B508" s="41" t="s">
        <v>1926</v>
      </c>
      <c r="C508" s="46">
        <v>7183.59</v>
      </c>
      <c r="D508" s="62" t="str">
        <f>HYPERLINK("https://osu.ppy.sh/u/3367047","bgfighter21")</f>
        <v>bgfighter21</v>
      </c>
      <c r="E508" s="41" t="s">
        <v>28</v>
      </c>
      <c r="F508" s="58" t="s">
        <v>47</v>
      </c>
      <c r="G508" s="48" t="s">
        <v>29</v>
      </c>
      <c r="H508" s="48" t="s">
        <v>1133</v>
      </c>
      <c r="I508" s="48" t="s">
        <v>1927</v>
      </c>
      <c r="J508" s="59" t="s">
        <v>32</v>
      </c>
      <c r="K508" s="60"/>
      <c r="L508" s="1" t="s">
        <v>1928</v>
      </c>
      <c r="M508" s="1" t="s">
        <v>1438</v>
      </c>
      <c r="N508" s="1" t="s">
        <v>174</v>
      </c>
      <c r="O508" s="35" t="s">
        <v>496</v>
      </c>
      <c r="P508" s="72">
        <v>105.0</v>
      </c>
      <c r="Q508" s="73">
        <v>127.0</v>
      </c>
      <c r="R508" s="73">
        <v>70.0</v>
      </c>
      <c r="S508" s="73">
        <v>44.0</v>
      </c>
      <c r="T508" s="61" t="s">
        <v>42</v>
      </c>
      <c r="U508" s="1" t="s">
        <v>1929</v>
      </c>
      <c r="V508" s="1" t="s">
        <v>63</v>
      </c>
      <c r="Z508" s="45">
        <v>43282.0</v>
      </c>
    </row>
    <row r="509">
      <c r="A509" s="81" t="s">
        <v>1930</v>
      </c>
      <c r="B509" s="41" t="s">
        <v>1931</v>
      </c>
      <c r="C509" s="46">
        <v>7181.21</v>
      </c>
      <c r="D509" s="94" t="str">
        <f>HYPERLINK("https://osu.ppy.sh/u/4693200","Byron")</f>
        <v>Byron</v>
      </c>
      <c r="E509" s="41" t="s">
        <v>28</v>
      </c>
      <c r="F509" s="36" t="s">
        <v>559</v>
      </c>
      <c r="G509" s="37" t="s">
        <v>29</v>
      </c>
      <c r="H509" s="37" t="s">
        <v>1932</v>
      </c>
      <c r="I509" s="37" t="s">
        <v>31</v>
      </c>
      <c r="J509" s="38" t="s">
        <v>32</v>
      </c>
      <c r="K509" s="39" t="s">
        <v>33</v>
      </c>
      <c r="L509" s="40" t="s">
        <v>68</v>
      </c>
      <c r="M509" s="40" t="s">
        <v>1933</v>
      </c>
      <c r="N509" s="40" t="s">
        <v>92</v>
      </c>
      <c r="O509" s="35" t="s">
        <v>52</v>
      </c>
      <c r="P509" s="42" t="s">
        <v>249</v>
      </c>
      <c r="Q509" s="43" t="s">
        <v>167</v>
      </c>
      <c r="R509" s="43" t="s">
        <v>347</v>
      </c>
      <c r="S509" s="43" t="s">
        <v>323</v>
      </c>
      <c r="T509" s="61" t="s">
        <v>42</v>
      </c>
      <c r="U509" s="40" t="s">
        <v>1474</v>
      </c>
      <c r="V509" s="40" t="s">
        <v>89</v>
      </c>
      <c r="Z509" s="45">
        <v>43040.0</v>
      </c>
    </row>
    <row r="510">
      <c r="A510" s="81" t="s">
        <v>443</v>
      </c>
      <c r="B510" s="41" t="s">
        <v>1934</v>
      </c>
      <c r="C510" s="46">
        <v>7179.48</v>
      </c>
      <c r="D510" s="47" t="str">
        <f>HYPERLINK("https://osu.ppy.sh/u/6292234","Sharqosity")</f>
        <v>Sharqosity</v>
      </c>
      <c r="E510" s="52" t="s">
        <v>28</v>
      </c>
      <c r="F510" s="63">
        <v>800.0</v>
      </c>
      <c r="G510" s="65" t="s">
        <v>29</v>
      </c>
      <c r="H510" s="65" t="s">
        <v>67</v>
      </c>
      <c r="I510" s="65" t="s">
        <v>31</v>
      </c>
      <c r="J510" s="89" t="s">
        <v>32</v>
      </c>
      <c r="K510" s="71">
        <v>1000.0</v>
      </c>
      <c r="L510" s="52" t="s">
        <v>222</v>
      </c>
      <c r="M510" s="41" t="s">
        <v>108</v>
      </c>
      <c r="N510" s="41" t="s">
        <v>1935</v>
      </c>
      <c r="O510" s="1" t="s">
        <v>109</v>
      </c>
      <c r="P510" s="85" t="s">
        <v>110</v>
      </c>
      <c r="Q510" s="86" t="s">
        <v>39</v>
      </c>
      <c r="R510" s="87" t="s">
        <v>72</v>
      </c>
      <c r="S510" s="87" t="s">
        <v>41</v>
      </c>
      <c r="T510" s="48" t="s">
        <v>42</v>
      </c>
      <c r="U510" s="41" t="s">
        <v>418</v>
      </c>
      <c r="V510" s="41" t="s">
        <v>89</v>
      </c>
      <c r="Z510" s="45">
        <v>44013.0</v>
      </c>
    </row>
    <row r="511">
      <c r="A511" s="81" t="s">
        <v>1936</v>
      </c>
      <c r="B511" s="111" t="s">
        <v>423</v>
      </c>
      <c r="C511" s="112">
        <v>7178.66</v>
      </c>
      <c r="D511" s="113" t="str">
        <f>HYPERLINK("https://osu.ppy.sh/u/4677140","Puro")</f>
        <v>Puro</v>
      </c>
      <c r="E511" s="55" t="s">
        <v>320</v>
      </c>
      <c r="F511" s="58" t="s">
        <v>105</v>
      </c>
      <c r="G511" s="48" t="s">
        <v>29</v>
      </c>
      <c r="H511" s="48" t="s">
        <v>67</v>
      </c>
      <c r="I511" s="48" t="s">
        <v>106</v>
      </c>
      <c r="J511" s="59" t="s">
        <v>32</v>
      </c>
      <c r="K511" s="74" t="s">
        <v>1029</v>
      </c>
      <c r="L511" s="55" t="s">
        <v>107</v>
      </c>
      <c r="M511" s="1" t="s">
        <v>238</v>
      </c>
      <c r="N511" s="1" t="s">
        <v>397</v>
      </c>
      <c r="O511" s="1" t="s">
        <v>70</v>
      </c>
      <c r="P511" s="85" t="s">
        <v>1750</v>
      </c>
      <c r="Q511" s="86" t="s">
        <v>175</v>
      </c>
      <c r="R511" s="87" t="s">
        <v>1751</v>
      </c>
      <c r="S511" s="87" t="s">
        <v>217</v>
      </c>
      <c r="T511" s="48" t="s">
        <v>42</v>
      </c>
      <c r="U511" s="55" t="s">
        <v>1937</v>
      </c>
      <c r="V511" s="1" t="s">
        <v>74</v>
      </c>
      <c r="Z511" s="45">
        <v>43374.0</v>
      </c>
    </row>
    <row r="512">
      <c r="A512" s="81" t="s">
        <v>1938</v>
      </c>
      <c r="B512" s="1" t="s">
        <v>1939</v>
      </c>
      <c r="C512" s="33">
        <v>7161.72</v>
      </c>
      <c r="D512" s="34" t="str">
        <f>HYPERLINK("https://osu.ppy.sh/u/8010570","Impusu")</f>
        <v>Impusu</v>
      </c>
      <c r="E512" s="1" t="s">
        <v>28</v>
      </c>
      <c r="F512" s="48" t="s">
        <v>876</v>
      </c>
      <c r="G512" s="48" t="s">
        <v>29</v>
      </c>
      <c r="H512" s="48" t="s">
        <v>578</v>
      </c>
      <c r="I512" s="48" t="s">
        <v>31</v>
      </c>
      <c r="J512" s="59" t="s">
        <v>32</v>
      </c>
      <c r="K512" s="48" t="s">
        <v>33</v>
      </c>
      <c r="L512" s="1" t="s">
        <v>1371</v>
      </c>
      <c r="M512" s="55" t="s">
        <v>173</v>
      </c>
      <c r="N512" s="55" t="s">
        <v>1940</v>
      </c>
      <c r="O512" s="1" t="s">
        <v>121</v>
      </c>
      <c r="P512" s="42" t="s">
        <v>84</v>
      </c>
      <c r="Q512" s="43" t="s">
        <v>175</v>
      </c>
      <c r="R512" s="43" t="s">
        <v>86</v>
      </c>
      <c r="S512" s="43" t="s">
        <v>41</v>
      </c>
      <c r="T512" s="61" t="s">
        <v>42</v>
      </c>
      <c r="U512" s="55" t="s">
        <v>1941</v>
      </c>
      <c r="V512" s="55" t="s">
        <v>1693</v>
      </c>
      <c r="Z512" s="45">
        <v>44105.0</v>
      </c>
      <c r="AA512" s="57"/>
    </row>
    <row r="513">
      <c r="A513" s="81" t="s">
        <v>1942</v>
      </c>
      <c r="B513" s="102" t="s">
        <v>423</v>
      </c>
      <c r="C513" s="103">
        <v>7155.0</v>
      </c>
      <c r="D513" s="104" t="str">
        <f>HYPERLINK("https://osu.ppy.sh/u/1525538","Raiku")</f>
        <v>Raiku</v>
      </c>
      <c r="E513" s="61" t="s">
        <v>28</v>
      </c>
      <c r="F513" s="63">
        <v>800.0</v>
      </c>
      <c r="G513" s="64" t="s">
        <v>29</v>
      </c>
      <c r="H513" s="66" t="s">
        <v>67</v>
      </c>
      <c r="I513" s="66" t="s">
        <v>31</v>
      </c>
      <c r="J513" s="67" t="s">
        <v>32</v>
      </c>
      <c r="K513" s="71">
        <v>1000.0</v>
      </c>
      <c r="L513" s="44" t="s">
        <v>222</v>
      </c>
      <c r="M513" s="75" t="s">
        <v>100</v>
      </c>
      <c r="N513" s="35" t="s">
        <v>1943</v>
      </c>
      <c r="O513" s="35" t="s">
        <v>101</v>
      </c>
      <c r="P513" s="72">
        <v>105.0</v>
      </c>
      <c r="Q513" s="73">
        <v>127.0</v>
      </c>
      <c r="R513" s="73">
        <v>70.0</v>
      </c>
      <c r="S513" s="73">
        <v>44.0</v>
      </c>
      <c r="T513" s="44" t="s">
        <v>42</v>
      </c>
      <c r="U513" s="75" t="s">
        <v>725</v>
      </c>
      <c r="V513" s="75" t="s">
        <v>74</v>
      </c>
    </row>
    <row r="514">
      <c r="A514" s="81" t="s">
        <v>1944</v>
      </c>
      <c r="B514" s="1" t="s">
        <v>1945</v>
      </c>
      <c r="C514" s="33">
        <v>7147.13</v>
      </c>
      <c r="D514" s="34" t="str">
        <f>HYPERLINK("https://osu.ppy.sh/u/1634675","Bastard")</f>
        <v>Bastard</v>
      </c>
      <c r="E514" s="52" t="s">
        <v>28</v>
      </c>
      <c r="F514" s="36">
        <v>1000.0</v>
      </c>
      <c r="G514" s="37" t="s">
        <v>1018</v>
      </c>
      <c r="H514" s="37" t="s">
        <v>1946</v>
      </c>
      <c r="I514" s="37" t="s">
        <v>267</v>
      </c>
      <c r="J514" s="38" t="s">
        <v>32</v>
      </c>
      <c r="K514" s="39">
        <v>1000.0</v>
      </c>
      <c r="L514" s="40" t="s">
        <v>1947</v>
      </c>
      <c r="M514" s="40" t="s">
        <v>288</v>
      </c>
      <c r="N514" s="40" t="s">
        <v>174</v>
      </c>
      <c r="O514" s="41" t="s">
        <v>109</v>
      </c>
      <c r="P514" s="42">
        <v>85.0</v>
      </c>
      <c r="Q514" s="43">
        <v>117.0</v>
      </c>
      <c r="R514" s="43">
        <v>62.0</v>
      </c>
      <c r="S514" s="43">
        <v>38.0</v>
      </c>
      <c r="T514" s="40" t="s">
        <v>42</v>
      </c>
      <c r="U514" s="75" t="s">
        <v>117</v>
      </c>
      <c r="V514" s="75" t="s">
        <v>89</v>
      </c>
      <c r="Z514" s="45">
        <v>43009.0</v>
      </c>
    </row>
    <row r="515">
      <c r="A515" s="81" t="s">
        <v>1948</v>
      </c>
      <c r="B515" s="1" t="s">
        <v>1949</v>
      </c>
      <c r="C515" s="33">
        <v>7146.91</v>
      </c>
      <c r="D515" s="34" t="str">
        <f>HYPERLINK("https://osu.ppy.sh/u/8276502","DEK-")</f>
        <v>DEK-</v>
      </c>
      <c r="E515" s="41" t="s">
        <v>28</v>
      </c>
      <c r="F515" s="109"/>
      <c r="G515" s="53"/>
      <c r="H515" s="53"/>
      <c r="I515" s="53"/>
      <c r="J515" s="54"/>
      <c r="K515" s="60"/>
      <c r="P515" s="91"/>
      <c r="Q515" s="92"/>
      <c r="R515" s="92"/>
      <c r="S515" s="92"/>
      <c r="Z515" s="45"/>
    </row>
    <row r="516">
      <c r="A516" s="81" t="s">
        <v>449</v>
      </c>
      <c r="B516" s="1" t="s">
        <v>1950</v>
      </c>
      <c r="C516" s="33">
        <v>7125.54</v>
      </c>
      <c r="D516" s="34" t="str">
        <f>HYPERLINK("https://osu.ppy.sh/u/4679943","osu angola")</f>
        <v>osu angola</v>
      </c>
      <c r="E516" s="52" t="s">
        <v>28</v>
      </c>
      <c r="F516" s="63">
        <v>800.0</v>
      </c>
      <c r="G516" s="37" t="s">
        <v>29</v>
      </c>
      <c r="H516" s="37" t="s">
        <v>67</v>
      </c>
      <c r="I516" s="65" t="s">
        <v>98</v>
      </c>
      <c r="J516" s="38" t="s">
        <v>32</v>
      </c>
      <c r="K516" s="82"/>
      <c r="L516" s="44"/>
      <c r="M516" s="41" t="s">
        <v>199</v>
      </c>
      <c r="N516" s="40" t="s">
        <v>1951</v>
      </c>
      <c r="O516" s="35" t="s">
        <v>201</v>
      </c>
      <c r="P516" s="72">
        <v>103.0</v>
      </c>
      <c r="Q516" s="73">
        <v>136.0</v>
      </c>
      <c r="R516" s="73">
        <v>72.0</v>
      </c>
      <c r="S516" s="73">
        <v>41.0</v>
      </c>
      <c r="T516" s="61" t="s">
        <v>42</v>
      </c>
      <c r="U516" s="40" t="s">
        <v>1952</v>
      </c>
      <c r="V516" s="41" t="s">
        <v>203</v>
      </c>
    </row>
    <row r="517">
      <c r="A517" s="81" t="s">
        <v>453</v>
      </c>
      <c r="B517" s="41" t="s">
        <v>1953</v>
      </c>
      <c r="C517" s="46">
        <v>7115.9</v>
      </c>
      <c r="D517" s="105" t="str">
        <f>HYPERLINK("https://osu.ppy.sh/u/671747","NixXSkate")</f>
        <v>NixXSkate</v>
      </c>
      <c r="E517" s="35" t="s">
        <v>28</v>
      </c>
      <c r="F517" s="63">
        <v>800.0</v>
      </c>
      <c r="G517" s="65" t="s">
        <v>29</v>
      </c>
      <c r="H517" s="65" t="s">
        <v>67</v>
      </c>
      <c r="I517" s="66" t="s">
        <v>421</v>
      </c>
      <c r="J517" s="89" t="s">
        <v>192</v>
      </c>
      <c r="K517" s="71">
        <v>1000.0</v>
      </c>
      <c r="L517" s="61" t="s">
        <v>107</v>
      </c>
      <c r="M517" s="35" t="s">
        <v>1382</v>
      </c>
      <c r="N517" s="35" t="s">
        <v>696</v>
      </c>
      <c r="O517" s="35" t="s">
        <v>278</v>
      </c>
      <c r="P517" s="72">
        <v>90.0</v>
      </c>
      <c r="Q517" s="73">
        <v>115.0</v>
      </c>
      <c r="R517" s="73">
        <v>63.0</v>
      </c>
      <c r="S517" s="73">
        <v>38.0</v>
      </c>
      <c r="T517" s="61" t="s">
        <v>42</v>
      </c>
      <c r="U517" s="35" t="s">
        <v>409</v>
      </c>
      <c r="V517" s="35" t="s">
        <v>89</v>
      </c>
    </row>
    <row r="518">
      <c r="A518" s="81" t="s">
        <v>1954</v>
      </c>
      <c r="B518" s="41" t="s">
        <v>1955</v>
      </c>
      <c r="C518" s="46">
        <v>7112.25</v>
      </c>
      <c r="D518" s="62" t="str">
        <f>HYPERLINK("https://osu.ppy.sh/u/2602659","zelbog")</f>
        <v>zelbog</v>
      </c>
      <c r="E518" s="52" t="s">
        <v>28</v>
      </c>
      <c r="F518" s="100"/>
      <c r="G518" s="101"/>
      <c r="H518" s="101"/>
      <c r="I518" s="101"/>
      <c r="J518" s="49"/>
      <c r="K518" s="82"/>
      <c r="L518" s="69"/>
      <c r="M518" s="69"/>
      <c r="N518" s="69"/>
      <c r="O518" s="69"/>
      <c r="P518" s="79"/>
      <c r="Q518" s="80"/>
      <c r="R518" s="80"/>
      <c r="S518" s="80"/>
      <c r="T518" s="69"/>
      <c r="U518" s="69"/>
      <c r="V518" s="69"/>
      <c r="AA518" s="57"/>
    </row>
    <row r="519">
      <c r="A519" s="81" t="s">
        <v>1956</v>
      </c>
      <c r="B519" s="41" t="s">
        <v>1957</v>
      </c>
      <c r="C519" s="46">
        <v>7111.25</v>
      </c>
      <c r="D519" s="47" t="str">
        <f>HYPERLINK("https://osu.ppy.sh/u/5273375","jjoner")</f>
        <v>jjoner</v>
      </c>
      <c r="E519" s="52" t="s">
        <v>28</v>
      </c>
      <c r="F519" s="36">
        <v>700.0</v>
      </c>
      <c r="G519" s="101"/>
      <c r="H519" s="37" t="s">
        <v>1099</v>
      </c>
      <c r="I519" s="37" t="s">
        <v>31</v>
      </c>
      <c r="J519" s="49"/>
      <c r="K519" s="82"/>
      <c r="L519" s="69"/>
      <c r="M519" s="40" t="s">
        <v>1958</v>
      </c>
      <c r="N519" s="69"/>
      <c r="O519" s="69"/>
      <c r="P519" s="79"/>
      <c r="Q519" s="80"/>
      <c r="R519" s="80"/>
      <c r="S519" s="80"/>
      <c r="T519" s="69"/>
      <c r="U519" s="40" t="s">
        <v>668</v>
      </c>
      <c r="V519" s="69"/>
    </row>
    <row r="520">
      <c r="A520" s="81" t="s">
        <v>1959</v>
      </c>
      <c r="B520" s="41" t="s">
        <v>1960</v>
      </c>
      <c r="C520" s="46">
        <v>7108.28</v>
      </c>
      <c r="D520" s="105" t="str">
        <f>HYPERLINK("https://osu.ppy.sh/u/2772753","SunglassesEmoji")</f>
        <v>SunglassesEmoji</v>
      </c>
      <c r="E520" s="61" t="s">
        <v>28</v>
      </c>
      <c r="F520" s="63">
        <v>560.0</v>
      </c>
      <c r="G520" s="101"/>
      <c r="H520" s="66" t="s">
        <v>67</v>
      </c>
      <c r="I520" s="66" t="s">
        <v>579</v>
      </c>
      <c r="J520" s="70" t="s">
        <v>32</v>
      </c>
      <c r="K520" s="82"/>
      <c r="L520" s="61" t="s">
        <v>1301</v>
      </c>
      <c r="M520" s="35" t="s">
        <v>199</v>
      </c>
      <c r="N520" s="35" t="s">
        <v>179</v>
      </c>
      <c r="O520" s="75" t="s">
        <v>201</v>
      </c>
      <c r="P520" s="72">
        <v>103.0</v>
      </c>
      <c r="Q520" s="73">
        <v>136.0</v>
      </c>
      <c r="R520" s="73">
        <v>72.0</v>
      </c>
      <c r="S520" s="73">
        <v>41.0</v>
      </c>
      <c r="T520" s="44" t="s">
        <v>42</v>
      </c>
      <c r="U520" s="35" t="s">
        <v>1961</v>
      </c>
      <c r="V520" s="35" t="s">
        <v>74</v>
      </c>
    </row>
    <row r="521">
      <c r="A521" s="81" t="s">
        <v>1962</v>
      </c>
      <c r="B521" s="1" t="s">
        <v>1963</v>
      </c>
      <c r="C521" s="33">
        <v>7105.03</v>
      </c>
      <c r="D521" s="34" t="str">
        <f>HYPERLINK("https://osu.ppy.sh/u/5260387","R3F13X")</f>
        <v>R3F13X</v>
      </c>
      <c r="E521" s="52" t="s">
        <v>28</v>
      </c>
      <c r="F521" s="36" t="s">
        <v>171</v>
      </c>
      <c r="G521" s="37" t="s">
        <v>29</v>
      </c>
      <c r="H521" s="37" t="s">
        <v>67</v>
      </c>
      <c r="I521" s="37" t="s">
        <v>31</v>
      </c>
      <c r="J521" s="38" t="s">
        <v>32</v>
      </c>
      <c r="K521" s="82"/>
      <c r="L521" s="40" t="s">
        <v>411</v>
      </c>
      <c r="M521" s="40" t="s">
        <v>185</v>
      </c>
      <c r="N521" s="40" t="s">
        <v>696</v>
      </c>
      <c r="O521" s="40" t="s">
        <v>141</v>
      </c>
      <c r="P521" s="42" t="s">
        <v>187</v>
      </c>
      <c r="Q521" s="43" t="s">
        <v>39</v>
      </c>
      <c r="R521" s="43" t="s">
        <v>72</v>
      </c>
      <c r="S521" s="43" t="s">
        <v>41</v>
      </c>
      <c r="T521" s="40" t="s">
        <v>42</v>
      </c>
      <c r="U521" s="40" t="s">
        <v>1964</v>
      </c>
      <c r="V521" s="40" t="s">
        <v>74</v>
      </c>
      <c r="Z521" s="45">
        <v>43497.0</v>
      </c>
    </row>
    <row r="522">
      <c r="A522" s="81" t="s">
        <v>1965</v>
      </c>
      <c r="B522" s="41" t="s">
        <v>1966</v>
      </c>
      <c r="C522" s="46">
        <v>7102.98</v>
      </c>
      <c r="D522" s="47" t="str">
        <f>HYPERLINK("https://osu.ppy.sh/u/3238470","Kai9240")</f>
        <v>Kai9240</v>
      </c>
      <c r="E522" s="52" t="s">
        <v>571</v>
      </c>
      <c r="F522" s="36" t="s">
        <v>559</v>
      </c>
      <c r="G522" s="101"/>
      <c r="H522" s="37" t="s">
        <v>67</v>
      </c>
      <c r="I522" s="37" t="s">
        <v>31</v>
      </c>
      <c r="J522" s="49"/>
      <c r="K522" s="82"/>
      <c r="L522" s="69"/>
      <c r="M522" s="69"/>
      <c r="N522" s="69"/>
      <c r="O522" s="69"/>
      <c r="P522" s="79"/>
      <c r="Q522" s="80"/>
      <c r="R522" s="80"/>
      <c r="S522" s="80"/>
      <c r="T522" s="69"/>
      <c r="U522" s="135" t="s">
        <v>180</v>
      </c>
      <c r="V522" s="69"/>
      <c r="AA522" s="57"/>
    </row>
    <row r="523">
      <c r="A523" s="81" t="s">
        <v>1967</v>
      </c>
      <c r="B523" s="41" t="s">
        <v>1968</v>
      </c>
      <c r="C523" s="46">
        <v>7097.2</v>
      </c>
      <c r="D523" s="47" t="str">
        <f>HYPERLINK("https://osu.ppy.sh/u/8984749","diksy")</f>
        <v>diksy</v>
      </c>
      <c r="E523" s="52" t="s">
        <v>28</v>
      </c>
      <c r="F523" s="100"/>
      <c r="G523" s="101"/>
      <c r="H523" s="101"/>
      <c r="I523" s="101"/>
      <c r="J523" s="49"/>
      <c r="K523" s="82"/>
      <c r="L523" s="69"/>
      <c r="M523" s="69"/>
      <c r="N523" s="69"/>
      <c r="O523" s="69"/>
      <c r="P523" s="79"/>
      <c r="Q523" s="80"/>
      <c r="R523" s="80"/>
      <c r="S523" s="80"/>
      <c r="T523" s="69"/>
      <c r="U523" s="69"/>
      <c r="V523" s="69"/>
      <c r="AA523" s="57"/>
    </row>
    <row r="524">
      <c r="A524" s="81" t="s">
        <v>1969</v>
      </c>
      <c r="B524" s="41" t="s">
        <v>1970</v>
      </c>
      <c r="C524" s="46">
        <v>7094.71</v>
      </c>
      <c r="D524" s="47" t="str">
        <f>HYPERLINK("https://osu.ppy.sh/u/9887829","lucasxd")</f>
        <v>lucasxd</v>
      </c>
      <c r="E524" s="52" t="s">
        <v>28</v>
      </c>
      <c r="F524" s="36" t="s">
        <v>340</v>
      </c>
      <c r="G524" s="37" t="s">
        <v>29</v>
      </c>
      <c r="H524" s="37" t="s">
        <v>67</v>
      </c>
      <c r="I524" s="37" t="s">
        <v>31</v>
      </c>
      <c r="J524" s="38" t="s">
        <v>32</v>
      </c>
      <c r="K524" s="39" t="s">
        <v>33</v>
      </c>
      <c r="L524" s="40" t="s">
        <v>1371</v>
      </c>
      <c r="M524" s="40" t="s">
        <v>1971</v>
      </c>
      <c r="N524" s="40" t="s">
        <v>92</v>
      </c>
      <c r="O524" s="69"/>
      <c r="P524" s="79"/>
      <c r="Q524" s="80"/>
      <c r="R524" s="80"/>
      <c r="S524" s="80"/>
      <c r="T524" s="69"/>
      <c r="U524" s="40" t="s">
        <v>668</v>
      </c>
      <c r="V524" s="40"/>
      <c r="Z524" s="45">
        <v>43344.0</v>
      </c>
    </row>
    <row r="525">
      <c r="A525" s="81" t="s">
        <v>1972</v>
      </c>
      <c r="B525" s="1" t="s">
        <v>1973</v>
      </c>
      <c r="C525" s="33">
        <v>7089.75</v>
      </c>
      <c r="D525" s="34" t="str">
        <f>HYPERLINK("https://osu.ppy.sh/u/2423005","Dominik DziDT")</f>
        <v>Dominik DziDT</v>
      </c>
      <c r="E525" s="52" t="s">
        <v>28</v>
      </c>
      <c r="F525" s="58" t="s">
        <v>105</v>
      </c>
      <c r="G525" s="48" t="s">
        <v>78</v>
      </c>
      <c r="H525" s="48" t="s">
        <v>666</v>
      </c>
      <c r="I525" s="48" t="s">
        <v>31</v>
      </c>
      <c r="J525" s="59" t="s">
        <v>32</v>
      </c>
      <c r="K525" s="74" t="s">
        <v>33</v>
      </c>
      <c r="L525" s="1" t="s">
        <v>68</v>
      </c>
      <c r="M525" s="1" t="s">
        <v>50</v>
      </c>
      <c r="N525" s="1" t="s">
        <v>1088</v>
      </c>
      <c r="O525" s="1" t="s">
        <v>52</v>
      </c>
      <c r="P525" s="85" t="s">
        <v>744</v>
      </c>
      <c r="Q525" s="86" t="s">
        <v>745</v>
      </c>
      <c r="R525" s="86" t="s">
        <v>40</v>
      </c>
      <c r="S525" s="86" t="s">
        <v>746</v>
      </c>
      <c r="T525" s="61" t="s">
        <v>53</v>
      </c>
      <c r="U525" s="1" t="s">
        <v>289</v>
      </c>
      <c r="V525" s="1" t="s">
        <v>74</v>
      </c>
      <c r="Z525" s="45">
        <v>43070.0</v>
      </c>
    </row>
    <row r="526">
      <c r="A526" s="81" t="s">
        <v>1974</v>
      </c>
      <c r="B526" s="102" t="s">
        <v>423</v>
      </c>
      <c r="C526" s="103">
        <v>7088.07</v>
      </c>
      <c r="D526" s="104" t="str">
        <f>HYPERLINK("https://osu.ppy.sh/u/319312","NonxE")</f>
        <v>NonxE</v>
      </c>
      <c r="E526" s="61" t="s">
        <v>28</v>
      </c>
      <c r="F526" s="167" t="s">
        <v>1975</v>
      </c>
      <c r="G526" s="66" t="s">
        <v>29</v>
      </c>
      <c r="H526" s="66" t="s">
        <v>67</v>
      </c>
      <c r="I526" s="66" t="s">
        <v>31</v>
      </c>
      <c r="J526" s="67" t="s">
        <v>32</v>
      </c>
      <c r="K526" s="82"/>
      <c r="L526" s="61" t="s">
        <v>1976</v>
      </c>
      <c r="M526" s="75" t="s">
        <v>1977</v>
      </c>
      <c r="N526" s="35" t="s">
        <v>116</v>
      </c>
      <c r="O526" s="35" t="s">
        <v>1978</v>
      </c>
      <c r="P526" s="42"/>
      <c r="Q526" s="80"/>
      <c r="R526" s="80"/>
      <c r="S526" s="80"/>
      <c r="T526" s="69"/>
      <c r="U526" s="35" t="s">
        <v>1979</v>
      </c>
      <c r="V526" s="35" t="s">
        <v>74</v>
      </c>
    </row>
    <row r="527">
      <c r="A527" s="81" t="s">
        <v>1980</v>
      </c>
      <c r="B527" s="111" t="s">
        <v>423</v>
      </c>
      <c r="C527" s="112">
        <v>7086.71</v>
      </c>
      <c r="D527" s="153" t="str">
        <f>HYPERLINK("https://osu.ppy.sh/u/4025232","TheSomething")</f>
        <v>TheSomething</v>
      </c>
      <c r="E527" s="41" t="s">
        <v>28</v>
      </c>
      <c r="F527" s="58" t="s">
        <v>340</v>
      </c>
      <c r="G527" s="48" t="s">
        <v>78</v>
      </c>
      <c r="H527" s="48" t="s">
        <v>1981</v>
      </c>
      <c r="I527" s="48" t="s">
        <v>242</v>
      </c>
      <c r="J527" s="59" t="s">
        <v>32</v>
      </c>
      <c r="K527" s="152"/>
      <c r="L527" s="52" t="s">
        <v>257</v>
      </c>
      <c r="M527" s="1" t="s">
        <v>288</v>
      </c>
      <c r="N527" s="1" t="s">
        <v>92</v>
      </c>
      <c r="O527" s="41" t="s">
        <v>109</v>
      </c>
      <c r="P527" s="42">
        <v>85.0</v>
      </c>
      <c r="Q527" s="43">
        <v>117.0</v>
      </c>
      <c r="R527" s="43">
        <v>62.0</v>
      </c>
      <c r="S527" s="43">
        <v>38.0</v>
      </c>
      <c r="T527" s="40" t="s">
        <v>42</v>
      </c>
      <c r="U527" s="1" t="s">
        <v>1982</v>
      </c>
      <c r="V527" s="1" t="s">
        <v>74</v>
      </c>
      <c r="Z527" s="45">
        <v>43282.0</v>
      </c>
    </row>
    <row r="528">
      <c r="A528" s="81" t="s">
        <v>1983</v>
      </c>
      <c r="B528" s="1" t="s">
        <v>1984</v>
      </c>
      <c r="C528" s="33">
        <v>7083.95</v>
      </c>
      <c r="D528" s="34" t="str">
        <f>HYPERLINK("https://osu.ppy.sh/u/4510179","XgenSlayer")</f>
        <v>XgenSlayer</v>
      </c>
      <c r="E528" s="52" t="s">
        <v>571</v>
      </c>
      <c r="F528" s="58">
        <v>500.0</v>
      </c>
      <c r="G528" s="48" t="s">
        <v>29</v>
      </c>
      <c r="H528" s="48" t="s">
        <v>67</v>
      </c>
      <c r="I528" s="48" t="s">
        <v>31</v>
      </c>
      <c r="J528" s="59" t="s">
        <v>32</v>
      </c>
      <c r="K528" s="74">
        <v>500.0</v>
      </c>
      <c r="L528" s="1" t="s">
        <v>1985</v>
      </c>
      <c r="M528" s="1" t="s">
        <v>108</v>
      </c>
      <c r="N528" s="1" t="s">
        <v>61</v>
      </c>
      <c r="O528" s="1" t="s">
        <v>109</v>
      </c>
      <c r="P528" s="85" t="s">
        <v>110</v>
      </c>
      <c r="Q528" s="86" t="s">
        <v>39</v>
      </c>
      <c r="R528" s="87" t="s">
        <v>72</v>
      </c>
      <c r="S528" s="87" t="s">
        <v>41</v>
      </c>
      <c r="T528" s="48" t="s">
        <v>42</v>
      </c>
      <c r="Z528" s="45"/>
    </row>
    <row r="529">
      <c r="A529" s="81" t="s">
        <v>1986</v>
      </c>
      <c r="B529" s="1" t="s">
        <v>1987</v>
      </c>
      <c r="C529" s="33">
        <v>7078.92</v>
      </c>
      <c r="D529" s="34" t="str">
        <f>HYPERLINK("https://osu.ppy.sh/u/10664409","Boolin")</f>
        <v>Boolin</v>
      </c>
      <c r="E529" s="52" t="s">
        <v>28</v>
      </c>
      <c r="F529" s="48" t="s">
        <v>1988</v>
      </c>
      <c r="G529" s="48" t="s">
        <v>29</v>
      </c>
      <c r="H529" s="48" t="s">
        <v>67</v>
      </c>
      <c r="I529" s="48" t="s">
        <v>31</v>
      </c>
      <c r="J529" s="59" t="s">
        <v>32</v>
      </c>
      <c r="K529" s="48" t="s">
        <v>33</v>
      </c>
      <c r="L529" s="1" t="s">
        <v>1989</v>
      </c>
      <c r="M529" s="1" t="s">
        <v>1990</v>
      </c>
      <c r="N529" s="1" t="s">
        <v>174</v>
      </c>
      <c r="O529" s="1" t="s">
        <v>1991</v>
      </c>
      <c r="P529" s="48" t="s">
        <v>1992</v>
      </c>
      <c r="Q529" s="48" t="s">
        <v>1993</v>
      </c>
      <c r="R529" s="48" t="s">
        <v>1994</v>
      </c>
      <c r="S529" s="48" t="s">
        <v>368</v>
      </c>
      <c r="T529" s="44" t="s">
        <v>42</v>
      </c>
      <c r="U529" s="1" t="s">
        <v>1995</v>
      </c>
      <c r="V529" s="1" t="s">
        <v>44</v>
      </c>
      <c r="Z529" s="45">
        <v>43922.0</v>
      </c>
      <c r="AA529" s="57"/>
    </row>
    <row r="530">
      <c r="A530" s="81" t="s">
        <v>1996</v>
      </c>
      <c r="B530" s="41" t="s">
        <v>1997</v>
      </c>
      <c r="C530" s="46">
        <v>7073.1</v>
      </c>
      <c r="D530" s="105" t="str">
        <f>HYPERLINK("https://osu.ppy.sh/u/1103342","Pijokash")</f>
        <v>Pijokash</v>
      </c>
      <c r="E530" s="40" t="s">
        <v>28</v>
      </c>
      <c r="F530" s="36">
        <v>1000.0</v>
      </c>
      <c r="G530" s="37" t="s">
        <v>29</v>
      </c>
      <c r="H530" s="37" t="s">
        <v>67</v>
      </c>
      <c r="I530" s="37" t="s">
        <v>311</v>
      </c>
      <c r="J530" s="38" t="s">
        <v>32</v>
      </c>
      <c r="K530" s="39">
        <v>1000.0</v>
      </c>
      <c r="L530" s="40" t="s">
        <v>107</v>
      </c>
      <c r="M530" s="40" t="s">
        <v>238</v>
      </c>
      <c r="N530" s="40" t="s">
        <v>92</v>
      </c>
      <c r="O530" s="35" t="s">
        <v>70</v>
      </c>
      <c r="P530" s="42">
        <v>126.0</v>
      </c>
      <c r="Q530" s="43">
        <v>128.0</v>
      </c>
      <c r="R530" s="43">
        <v>76.0</v>
      </c>
      <c r="S530" s="43">
        <v>42.0</v>
      </c>
      <c r="T530" s="61" t="s">
        <v>42</v>
      </c>
      <c r="U530" s="40" t="s">
        <v>977</v>
      </c>
      <c r="V530" s="40" t="s">
        <v>1998</v>
      </c>
      <c r="Z530" s="45">
        <v>42795.0</v>
      </c>
      <c r="AA530" s="57"/>
    </row>
    <row r="531">
      <c r="A531" s="81" t="s">
        <v>1999</v>
      </c>
      <c r="B531" s="1" t="s">
        <v>2000</v>
      </c>
      <c r="C531" s="33">
        <v>7045.57</v>
      </c>
      <c r="D531" s="34" t="str">
        <f>HYPERLINK("https://osu.ppy.sh/u/2658457","Warui Kitsune")</f>
        <v>Warui Kitsune</v>
      </c>
      <c r="E531" s="52" t="s">
        <v>28</v>
      </c>
      <c r="F531" s="58" t="s">
        <v>791</v>
      </c>
      <c r="G531" s="48" t="s">
        <v>29</v>
      </c>
      <c r="H531" s="48" t="s">
        <v>394</v>
      </c>
      <c r="I531" s="48" t="s">
        <v>31</v>
      </c>
      <c r="J531" s="59" t="s">
        <v>32</v>
      </c>
      <c r="K531" s="74" t="s">
        <v>33</v>
      </c>
      <c r="M531" s="110" t="s">
        <v>1548</v>
      </c>
      <c r="N531" s="1" t="s">
        <v>2001</v>
      </c>
      <c r="O531" s="1" t="s">
        <v>1549</v>
      </c>
      <c r="P531" s="91"/>
      <c r="Q531" s="92"/>
      <c r="R531" s="92"/>
      <c r="S531" s="92"/>
      <c r="U531" s="1" t="s">
        <v>1995</v>
      </c>
      <c r="V531" s="1" t="s">
        <v>44</v>
      </c>
      <c r="Z531" s="45">
        <v>43070.0</v>
      </c>
    </row>
    <row r="532">
      <c r="A532" s="81" t="s">
        <v>460</v>
      </c>
      <c r="B532" s="111" t="s">
        <v>423</v>
      </c>
      <c r="C532" s="112">
        <v>7044.57</v>
      </c>
      <c r="D532" s="113" t="str">
        <f>HYPERLINK("https://osu.ppy.sh/u/6655974","Jupiler")</f>
        <v>Jupiler</v>
      </c>
      <c r="E532" s="41" t="s">
        <v>28</v>
      </c>
      <c r="G532" s="53"/>
      <c r="I532" s="53"/>
      <c r="J532" s="54"/>
    </row>
    <row r="533">
      <c r="A533" s="81" t="s">
        <v>2002</v>
      </c>
      <c r="B533" s="102" t="s">
        <v>423</v>
      </c>
      <c r="C533" s="103">
        <v>7043.15</v>
      </c>
      <c r="D533" s="137" t="str">
        <f>HYPERLINK("https://osu.ppy.sh/u/3480244","MeowMeowKins")</f>
        <v>MeowMeowKins</v>
      </c>
      <c r="E533" s="52" t="s">
        <v>28</v>
      </c>
      <c r="F533" s="100"/>
      <c r="G533" s="101"/>
      <c r="H533" s="101"/>
      <c r="I533" s="101"/>
      <c r="J533" s="49"/>
      <c r="K533" s="82"/>
      <c r="L533" s="69"/>
      <c r="M533" s="69"/>
      <c r="N533" s="69"/>
      <c r="O533" s="69"/>
      <c r="P533" s="79"/>
      <c r="Q533" s="80"/>
      <c r="R533" s="80"/>
      <c r="S533" s="80"/>
      <c r="T533" s="69"/>
      <c r="U533" s="69"/>
      <c r="V533" s="69"/>
    </row>
    <row r="534">
      <c r="A534" s="81" t="s">
        <v>465</v>
      </c>
      <c r="B534" s="102" t="s">
        <v>423</v>
      </c>
      <c r="C534" s="103">
        <v>7041.15</v>
      </c>
      <c r="D534" s="137" t="str">
        <f>HYPERLINK("https://osu.ppy.sh/u/4478236","Tommy16")</f>
        <v>Tommy16</v>
      </c>
      <c r="E534" s="52" t="s">
        <v>28</v>
      </c>
      <c r="F534" s="100"/>
      <c r="G534" s="101"/>
      <c r="H534" s="101"/>
      <c r="I534" s="101"/>
      <c r="J534" s="49"/>
      <c r="K534" s="82"/>
      <c r="L534" s="69"/>
      <c r="M534" s="69"/>
      <c r="N534" s="69"/>
      <c r="O534" s="69"/>
      <c r="P534" s="79"/>
      <c r="Q534" s="80"/>
      <c r="R534" s="80"/>
      <c r="S534" s="80"/>
      <c r="T534" s="69"/>
      <c r="U534" s="69"/>
      <c r="V534" s="69"/>
    </row>
    <row r="535">
      <c r="A535" s="81" t="s">
        <v>2003</v>
      </c>
      <c r="B535" s="102" t="s">
        <v>423</v>
      </c>
      <c r="C535" s="103">
        <v>7034.36</v>
      </c>
      <c r="D535" s="104" t="str">
        <f>HYPERLINK("https://osu.ppy.sh/u/9395030","krinco")</f>
        <v>krinco</v>
      </c>
      <c r="E535" s="41" t="s">
        <v>28</v>
      </c>
      <c r="G535" s="53"/>
      <c r="I535" s="53"/>
      <c r="J535" s="54"/>
    </row>
    <row r="536">
      <c r="A536" s="81" t="s">
        <v>2004</v>
      </c>
      <c r="B536" s="1" t="s">
        <v>2005</v>
      </c>
      <c r="C536" s="33">
        <v>7034.08</v>
      </c>
      <c r="D536" s="34" t="str">
        <f>HYPERLINK("https://osu.ppy.sh/u/7031407","E-van")</f>
        <v>E-van</v>
      </c>
      <c r="E536" s="41"/>
      <c r="F536" s="53"/>
      <c r="G536" s="53"/>
      <c r="H536" s="53"/>
      <c r="I536" s="53"/>
      <c r="J536" s="54"/>
      <c r="K536" s="53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Z536" s="45"/>
      <c r="AA536" s="57"/>
    </row>
    <row r="537">
      <c r="A537" s="81" t="s">
        <v>2006</v>
      </c>
      <c r="B537" s="41" t="s">
        <v>2007</v>
      </c>
      <c r="C537" s="46">
        <v>7029.29</v>
      </c>
      <c r="D537" s="83" t="str">
        <f>HYPERLINK("https://osu.ppy.sh/u/7908831","Potsosu")</f>
        <v>Potsosu</v>
      </c>
      <c r="E537" s="52" t="s">
        <v>28</v>
      </c>
      <c r="F537" s="36">
        <v>1100.0</v>
      </c>
      <c r="G537" s="37" t="s">
        <v>29</v>
      </c>
      <c r="H537" s="37" t="s">
        <v>67</v>
      </c>
      <c r="I537" s="37" t="s">
        <v>31</v>
      </c>
      <c r="J537" s="38" t="s">
        <v>32</v>
      </c>
      <c r="K537" s="39" t="s">
        <v>33</v>
      </c>
      <c r="L537" s="40" t="s">
        <v>341</v>
      </c>
      <c r="M537" s="40" t="s">
        <v>454</v>
      </c>
      <c r="N537" s="40" t="s">
        <v>61</v>
      </c>
      <c r="O537" s="40" t="s">
        <v>455</v>
      </c>
      <c r="P537" s="42" t="s">
        <v>456</v>
      </c>
      <c r="Q537" s="43" t="s">
        <v>457</v>
      </c>
      <c r="R537" s="43" t="s">
        <v>458</v>
      </c>
      <c r="S537" s="43" t="s">
        <v>251</v>
      </c>
      <c r="T537" s="35" t="s">
        <v>42</v>
      </c>
      <c r="U537" s="40" t="s">
        <v>2008</v>
      </c>
      <c r="V537" s="40" t="s">
        <v>94</v>
      </c>
      <c r="Z537" s="45">
        <v>43221.0</v>
      </c>
    </row>
    <row r="538">
      <c r="A538" s="81" t="s">
        <v>2009</v>
      </c>
      <c r="B538" s="41" t="s">
        <v>2010</v>
      </c>
      <c r="C538" s="46">
        <v>7026.9</v>
      </c>
      <c r="D538" s="83" t="str">
        <f>HYPERLINK("https://osu.ppy.sh/u/4557339","[ Kratos ]")</f>
        <v>[ Kratos ]</v>
      </c>
      <c r="E538" s="52" t="s">
        <v>28</v>
      </c>
      <c r="F538" s="36">
        <v>1000.0</v>
      </c>
      <c r="G538" s="37" t="s">
        <v>29</v>
      </c>
      <c r="H538" s="37" t="s">
        <v>304</v>
      </c>
      <c r="I538" s="65" t="s">
        <v>31</v>
      </c>
      <c r="J538" s="38"/>
      <c r="K538" s="39"/>
      <c r="L538" s="40" t="s">
        <v>953</v>
      </c>
      <c r="M538" s="41" t="s">
        <v>238</v>
      </c>
      <c r="N538" s="40" t="s">
        <v>295</v>
      </c>
      <c r="O538" s="35" t="s">
        <v>70</v>
      </c>
      <c r="P538" s="72">
        <v>126.0</v>
      </c>
      <c r="Q538" s="73">
        <v>128.0</v>
      </c>
      <c r="R538" s="73">
        <v>76.0</v>
      </c>
      <c r="S538" s="73">
        <v>42.0</v>
      </c>
      <c r="T538" s="61" t="s">
        <v>479</v>
      </c>
      <c r="U538" s="40" t="s">
        <v>180</v>
      </c>
      <c r="V538" s="41" t="s">
        <v>89</v>
      </c>
      <c r="Z538" s="45">
        <v>42826.0</v>
      </c>
    </row>
    <row r="539">
      <c r="A539" s="81" t="s">
        <v>2011</v>
      </c>
      <c r="B539" s="111" t="s">
        <v>423</v>
      </c>
      <c r="C539" s="112">
        <v>7026.28</v>
      </c>
      <c r="D539" s="113" t="str">
        <f>HYPERLINK("https://osu.ppy.sh/u/5160629","engie15")</f>
        <v>engie15</v>
      </c>
      <c r="E539" s="41" t="s">
        <v>28</v>
      </c>
      <c r="F539" s="58" t="s">
        <v>105</v>
      </c>
      <c r="G539" s="48" t="s">
        <v>29</v>
      </c>
      <c r="H539" s="48" t="s">
        <v>67</v>
      </c>
      <c r="I539" s="48" t="s">
        <v>98</v>
      </c>
      <c r="J539" s="54"/>
      <c r="K539" s="74" t="s">
        <v>33</v>
      </c>
      <c r="L539" s="1" t="s">
        <v>129</v>
      </c>
      <c r="M539" s="1" t="s">
        <v>108</v>
      </c>
      <c r="N539" s="1" t="s">
        <v>2012</v>
      </c>
      <c r="O539" s="1" t="s">
        <v>109</v>
      </c>
      <c r="P539" s="85" t="s">
        <v>110</v>
      </c>
      <c r="Q539" s="86" t="s">
        <v>39</v>
      </c>
      <c r="R539" s="87" t="s">
        <v>72</v>
      </c>
      <c r="S539" s="87" t="s">
        <v>41</v>
      </c>
      <c r="T539" s="48" t="s">
        <v>42</v>
      </c>
      <c r="U539" s="1" t="s">
        <v>2013</v>
      </c>
      <c r="V539" s="1" t="s">
        <v>63</v>
      </c>
      <c r="Z539" s="45">
        <v>43070.0</v>
      </c>
    </row>
    <row r="540">
      <c r="A540" s="81" t="s">
        <v>2014</v>
      </c>
      <c r="B540" s="1" t="s">
        <v>2015</v>
      </c>
      <c r="C540" s="33">
        <v>7022.28</v>
      </c>
      <c r="D540" s="34" t="str">
        <f>HYPERLINK("https://osu.ppy.sh/u/6890546","Monster Bait")</f>
        <v>Monster Bait</v>
      </c>
      <c r="E540" s="41" t="s">
        <v>28</v>
      </c>
      <c r="F540" s="109"/>
      <c r="G540" s="53"/>
      <c r="H540" s="53"/>
      <c r="I540" s="53"/>
      <c r="J540" s="54"/>
      <c r="K540" s="60"/>
      <c r="P540" s="91"/>
      <c r="Q540" s="92"/>
      <c r="R540" s="92"/>
      <c r="S540" s="92"/>
      <c r="Z540" s="45"/>
    </row>
    <row r="541">
      <c r="A541" s="81" t="s">
        <v>2016</v>
      </c>
      <c r="B541" s="102" t="s">
        <v>423</v>
      </c>
      <c r="C541" s="103">
        <v>7013.43</v>
      </c>
      <c r="D541" s="138" t="str">
        <f>HYPERLINK("https://osu.ppy.sh/u/1663496","Black Magic")</f>
        <v>Black Magic</v>
      </c>
      <c r="E541" s="61" t="s">
        <v>28</v>
      </c>
      <c r="F541" s="63">
        <v>850.0</v>
      </c>
      <c r="G541" s="128"/>
      <c r="H541" s="64" t="s">
        <v>67</v>
      </c>
      <c r="I541" s="64" t="s">
        <v>106</v>
      </c>
      <c r="J541" s="129"/>
      <c r="K541" s="82"/>
      <c r="L541" s="44" t="s">
        <v>257</v>
      </c>
      <c r="M541" s="75" t="s">
        <v>100</v>
      </c>
      <c r="N541" s="75" t="s">
        <v>2017</v>
      </c>
      <c r="O541" s="75" t="s">
        <v>101</v>
      </c>
      <c r="P541" s="72">
        <v>105.0</v>
      </c>
      <c r="Q541" s="73">
        <v>127.0</v>
      </c>
      <c r="R541" s="73">
        <v>70.0</v>
      </c>
      <c r="S541" s="73">
        <v>44.0</v>
      </c>
      <c r="T541" s="44" t="s">
        <v>42</v>
      </c>
      <c r="U541" s="75" t="s">
        <v>869</v>
      </c>
      <c r="V541" s="57"/>
    </row>
    <row r="542">
      <c r="A542" s="81" t="s">
        <v>2018</v>
      </c>
      <c r="B542" s="111" t="s">
        <v>423</v>
      </c>
      <c r="C542" s="112">
        <v>7004.67</v>
      </c>
      <c r="D542" s="113" t="str">
        <f>HYPERLINK("https://osu.ppy.sh/u/7371161","N0thingSpecial")</f>
        <v>N0thingSpecial</v>
      </c>
      <c r="E542" s="1" t="s">
        <v>28</v>
      </c>
      <c r="F542" s="58">
        <v>1000.0</v>
      </c>
      <c r="G542" s="48" t="s">
        <v>29</v>
      </c>
      <c r="H542" s="48" t="s">
        <v>723</v>
      </c>
      <c r="I542" s="48" t="s">
        <v>106</v>
      </c>
      <c r="J542" s="59" t="s">
        <v>32</v>
      </c>
      <c r="K542" s="74">
        <v>1000.0</v>
      </c>
      <c r="L542" s="1" t="s">
        <v>257</v>
      </c>
      <c r="M542" s="1" t="s">
        <v>473</v>
      </c>
      <c r="N542" s="1" t="s">
        <v>61</v>
      </c>
      <c r="P542" s="91"/>
      <c r="Q542" s="93"/>
      <c r="R542" s="93"/>
      <c r="S542" s="93"/>
      <c r="U542" s="1" t="s">
        <v>2019</v>
      </c>
      <c r="V542" s="1" t="s">
        <v>74</v>
      </c>
    </row>
    <row r="543">
      <c r="A543" s="81" t="s">
        <v>2020</v>
      </c>
      <c r="B543" s="41" t="s">
        <v>2021</v>
      </c>
      <c r="C543" s="46">
        <v>6999.91</v>
      </c>
      <c r="D543" s="47" t="str">
        <f>HYPERLINK("https://osu.ppy.sh/u/4262089","lazyrifi")</f>
        <v>lazyrifi</v>
      </c>
      <c r="E543" s="52" t="s">
        <v>28</v>
      </c>
      <c r="F543" s="36" t="s">
        <v>105</v>
      </c>
      <c r="G543" s="101"/>
      <c r="H543" s="37" t="s">
        <v>2022</v>
      </c>
      <c r="I543" s="37" t="s">
        <v>31</v>
      </c>
      <c r="J543" s="49"/>
      <c r="K543" s="82"/>
      <c r="L543" s="69"/>
      <c r="M543" s="40" t="s">
        <v>2023</v>
      </c>
      <c r="N543" s="69"/>
      <c r="O543" s="69"/>
      <c r="P543" s="79"/>
      <c r="Q543" s="80"/>
      <c r="R543" s="80"/>
      <c r="S543" s="80"/>
      <c r="T543" s="69"/>
      <c r="U543" s="40" t="s">
        <v>62</v>
      </c>
      <c r="V543" s="40" t="s">
        <v>63</v>
      </c>
      <c r="Z543" s="45">
        <v>43313.0</v>
      </c>
    </row>
    <row r="544">
      <c r="A544" s="81" t="s">
        <v>2024</v>
      </c>
      <c r="B544" s="41" t="s">
        <v>2025</v>
      </c>
      <c r="C544" s="46">
        <v>6997.81</v>
      </c>
      <c r="D544" s="47" t="str">
        <f>HYPERLINK("https://osu.ppy.sh/u/3737820","Haruna Kumo")</f>
        <v>Haruna Kumo</v>
      </c>
      <c r="E544" s="52"/>
      <c r="F544" s="100"/>
      <c r="G544" s="101"/>
      <c r="H544" s="101"/>
      <c r="I544" s="101"/>
      <c r="J544" s="49"/>
      <c r="K544" s="82"/>
      <c r="L544" s="69"/>
      <c r="M544" s="69"/>
      <c r="N544" s="69"/>
      <c r="O544" s="69"/>
      <c r="P544" s="79"/>
      <c r="Q544" s="80"/>
      <c r="R544" s="80"/>
      <c r="S544" s="80"/>
      <c r="T544" s="69"/>
      <c r="U544" s="69"/>
      <c r="V544" s="69"/>
    </row>
    <row r="545">
      <c r="A545" s="81" t="s">
        <v>2026</v>
      </c>
      <c r="B545" s="1" t="s">
        <v>2027</v>
      </c>
      <c r="C545" s="33">
        <v>6991.46</v>
      </c>
      <c r="D545" s="34" t="str">
        <f>HYPERLINK("https://osu.ppy.sh/u/6066897","Kooleyy")</f>
        <v>Kooleyy</v>
      </c>
      <c r="E545" s="52" t="s">
        <v>28</v>
      </c>
      <c r="F545" s="36">
        <v>720.0</v>
      </c>
      <c r="G545" s="37" t="s">
        <v>29</v>
      </c>
      <c r="H545" s="37" t="s">
        <v>350</v>
      </c>
      <c r="I545" s="37" t="s">
        <v>31</v>
      </c>
      <c r="J545" s="38" t="s">
        <v>32</v>
      </c>
      <c r="K545" s="39">
        <v>1000.0</v>
      </c>
      <c r="L545" s="40" t="s">
        <v>2028</v>
      </c>
      <c r="M545" s="40" t="s">
        <v>199</v>
      </c>
      <c r="N545" s="40" t="s">
        <v>1038</v>
      </c>
      <c r="O545" s="35" t="s">
        <v>201</v>
      </c>
      <c r="P545" s="72">
        <v>103.0</v>
      </c>
      <c r="Q545" s="73">
        <v>136.0</v>
      </c>
      <c r="R545" s="73">
        <v>72.0</v>
      </c>
      <c r="S545" s="73">
        <v>41.0</v>
      </c>
      <c r="T545" s="61" t="s">
        <v>42</v>
      </c>
      <c r="U545" s="40" t="s">
        <v>1244</v>
      </c>
      <c r="V545" s="40" t="s">
        <v>63</v>
      </c>
      <c r="Z545" s="45">
        <v>43009.0</v>
      </c>
    </row>
    <row r="546">
      <c r="A546" s="81" t="s">
        <v>2029</v>
      </c>
      <c r="B546" s="41" t="s">
        <v>2030</v>
      </c>
      <c r="C546" s="46">
        <v>6985.03</v>
      </c>
      <c r="D546" s="83" t="str">
        <f>HYPERLINK("https://osu.ppy.sh/u/4940293","Kayy")</f>
        <v>Kayy</v>
      </c>
      <c r="E546" s="52" t="s">
        <v>28</v>
      </c>
      <c r="F546" s="36" t="s">
        <v>105</v>
      </c>
      <c r="G546" s="37" t="s">
        <v>29</v>
      </c>
      <c r="H546" s="37" t="s">
        <v>723</v>
      </c>
      <c r="I546" s="48" t="s">
        <v>31</v>
      </c>
      <c r="J546" s="38" t="s">
        <v>32</v>
      </c>
      <c r="K546" s="39" t="s">
        <v>33</v>
      </c>
      <c r="L546" s="69"/>
      <c r="M546" s="40" t="s">
        <v>2031</v>
      </c>
      <c r="N546" s="40" t="s">
        <v>2032</v>
      </c>
      <c r="O546" s="69"/>
      <c r="P546" s="79"/>
      <c r="Q546" s="80"/>
      <c r="R546" s="80"/>
      <c r="S546" s="80"/>
      <c r="T546" s="69"/>
      <c r="U546" s="40" t="s">
        <v>252</v>
      </c>
      <c r="V546" s="40" t="s">
        <v>74</v>
      </c>
      <c r="Z546" s="45">
        <v>43282.0</v>
      </c>
      <c r="AA546" s="57"/>
    </row>
    <row r="547">
      <c r="A547" s="81" t="s">
        <v>2033</v>
      </c>
      <c r="B547" s="41" t="s">
        <v>2034</v>
      </c>
      <c r="C547" s="46">
        <v>6983.95</v>
      </c>
      <c r="D547" s="62" t="str">
        <f>HYPERLINK("https://osu.ppy.sh/u/4891293","- Auto -")</f>
        <v>- Auto -</v>
      </c>
      <c r="E547" s="40" t="s">
        <v>28</v>
      </c>
      <c r="F547" s="36">
        <v>1500.0</v>
      </c>
      <c r="G547" s="37" t="s">
        <v>29</v>
      </c>
      <c r="H547" s="37" t="s">
        <v>67</v>
      </c>
      <c r="I547" s="37" t="s">
        <v>579</v>
      </c>
      <c r="J547" s="38" t="s">
        <v>192</v>
      </c>
      <c r="K547" s="39">
        <v>1000.0</v>
      </c>
      <c r="L547" s="40" t="s">
        <v>332</v>
      </c>
      <c r="M547" s="40" t="s">
        <v>238</v>
      </c>
      <c r="N547" s="40" t="s">
        <v>160</v>
      </c>
      <c r="O547" s="35" t="s">
        <v>70</v>
      </c>
      <c r="P547" s="72">
        <v>126.0</v>
      </c>
      <c r="Q547" s="73">
        <v>128.0</v>
      </c>
      <c r="R547" s="73">
        <v>76.0</v>
      </c>
      <c r="S547" s="73">
        <v>42.0</v>
      </c>
      <c r="T547" s="61" t="s">
        <v>479</v>
      </c>
      <c r="U547" s="40" t="s">
        <v>117</v>
      </c>
      <c r="V547" s="40" t="s">
        <v>94</v>
      </c>
      <c r="Z547" s="45">
        <v>42795.0</v>
      </c>
    </row>
    <row r="548">
      <c r="A548" s="81" t="s">
        <v>2035</v>
      </c>
      <c r="B548" s="41" t="s">
        <v>2036</v>
      </c>
      <c r="C548" s="46">
        <v>6981.24</v>
      </c>
      <c r="D548" s="62" t="str">
        <f>HYPERLINK("https://osu.ppy.sh/u/2466360","Sealeet")</f>
        <v>Sealeet</v>
      </c>
      <c r="E548" s="41" t="s">
        <v>28</v>
      </c>
      <c r="F548" s="109"/>
      <c r="G548" s="53"/>
      <c r="H548" s="53"/>
      <c r="I548" s="53"/>
      <c r="J548" s="54"/>
      <c r="K548" s="60"/>
      <c r="P548" s="91"/>
      <c r="Q548" s="92"/>
      <c r="R548" s="92"/>
      <c r="S548" s="92"/>
      <c r="Z548" s="45"/>
      <c r="AA548" s="57"/>
    </row>
    <row r="549">
      <c r="A549" s="81" t="s">
        <v>2037</v>
      </c>
      <c r="B549" s="1" t="s">
        <v>2038</v>
      </c>
      <c r="C549" s="33">
        <v>6973.96</v>
      </c>
      <c r="D549" s="34" t="str">
        <f>HYPERLINK("https://osu.ppy.sh/u/2254206","Swift")</f>
        <v>Swift</v>
      </c>
      <c r="E549" s="55" t="s">
        <v>28</v>
      </c>
      <c r="F549" s="109"/>
      <c r="G549" s="53"/>
      <c r="H549" s="53"/>
      <c r="I549" s="53"/>
      <c r="J549" s="54"/>
      <c r="K549" s="60"/>
      <c r="L549" s="53"/>
      <c r="P549" s="91"/>
      <c r="Q549" s="92"/>
      <c r="R549" s="93"/>
      <c r="S549" s="93"/>
      <c r="T549" s="53"/>
      <c r="U549" s="53"/>
    </row>
    <row r="550">
      <c r="A550" s="81" t="s">
        <v>469</v>
      </c>
      <c r="B550" s="41" t="s">
        <v>2039</v>
      </c>
      <c r="C550" s="46">
        <v>6972.12</v>
      </c>
      <c r="D550" s="47" t="str">
        <f>HYPERLINK("https://osu.ppy.sh/u/9839751","chubbagubba")</f>
        <v>chubbagubba</v>
      </c>
      <c r="E550" s="52"/>
      <c r="F550" s="100"/>
      <c r="G550" s="101"/>
      <c r="H550" s="101"/>
      <c r="I550" s="101"/>
      <c r="J550" s="49"/>
      <c r="K550" s="82"/>
      <c r="L550" s="69"/>
      <c r="M550" s="69"/>
      <c r="N550" s="69"/>
      <c r="O550" s="69"/>
      <c r="P550" s="79"/>
      <c r="Q550" s="80"/>
      <c r="R550" s="80"/>
      <c r="S550" s="80"/>
      <c r="T550" s="69"/>
      <c r="U550" s="69"/>
      <c r="V550" s="69"/>
      <c r="AA550" s="57"/>
    </row>
    <row r="551">
      <c r="A551" s="81" t="s">
        <v>2040</v>
      </c>
      <c r="B551" s="102" t="s">
        <v>423</v>
      </c>
      <c r="C551" s="103">
        <v>6969.17</v>
      </c>
      <c r="D551" s="137" t="str">
        <f>HYPERLINK("https://osu.ppy.sh/u/6317814","Goisser")</f>
        <v>Goisser</v>
      </c>
      <c r="E551" s="52" t="s">
        <v>28</v>
      </c>
      <c r="F551" s="100"/>
      <c r="G551" s="101"/>
      <c r="H551" s="101"/>
      <c r="I551" s="101"/>
      <c r="J551" s="49"/>
      <c r="K551" s="82"/>
      <c r="L551" s="69"/>
      <c r="M551" s="69"/>
      <c r="N551" s="69"/>
      <c r="O551" s="69"/>
      <c r="P551" s="79"/>
      <c r="Q551" s="80"/>
      <c r="R551" s="80"/>
      <c r="S551" s="80"/>
      <c r="T551" s="69"/>
      <c r="U551" s="69"/>
      <c r="V551" s="69"/>
    </row>
    <row r="552">
      <c r="A552" s="81" t="s">
        <v>2041</v>
      </c>
      <c r="B552" s="41" t="s">
        <v>2042</v>
      </c>
      <c r="C552" s="46">
        <v>6966.86</v>
      </c>
      <c r="D552" s="83" t="str">
        <f>HYPERLINK("https://osu.ppy.sh/u/1507750","psie")</f>
        <v>psie</v>
      </c>
      <c r="E552" s="41" t="s">
        <v>28</v>
      </c>
      <c r="F552" s="63">
        <v>450.0</v>
      </c>
      <c r="G552" s="65" t="s">
        <v>29</v>
      </c>
      <c r="H552" s="48" t="s">
        <v>67</v>
      </c>
      <c r="I552" s="65" t="s">
        <v>293</v>
      </c>
      <c r="J552" s="89" t="s">
        <v>32</v>
      </c>
      <c r="K552" s="39">
        <v>1000.0</v>
      </c>
      <c r="L552" s="52" t="s">
        <v>1377</v>
      </c>
      <c r="M552" s="41" t="s">
        <v>473</v>
      </c>
      <c r="N552" s="41" t="s">
        <v>179</v>
      </c>
      <c r="O552" s="40"/>
      <c r="P552" s="79"/>
      <c r="Q552" s="80"/>
      <c r="R552" s="80"/>
      <c r="S552" s="80"/>
      <c r="T552" s="69"/>
      <c r="U552" s="41" t="s">
        <v>369</v>
      </c>
      <c r="V552" s="41" t="s">
        <v>74</v>
      </c>
      <c r="Z552" s="45">
        <v>42826.0</v>
      </c>
    </row>
    <row r="553">
      <c r="A553" s="81" t="s">
        <v>2043</v>
      </c>
      <c r="B553" s="1" t="s">
        <v>2044</v>
      </c>
      <c r="C553" s="33">
        <v>6963.87</v>
      </c>
      <c r="D553" s="34" t="str">
        <f>HYPERLINK("https://osu.ppy.sh/u/2825194","Malle")</f>
        <v>Malle</v>
      </c>
      <c r="E553" s="61" t="s">
        <v>28</v>
      </c>
      <c r="G553" s="53"/>
      <c r="I553" s="53"/>
      <c r="J553" s="54"/>
    </row>
    <row r="554">
      <c r="A554" s="81" t="s">
        <v>2045</v>
      </c>
      <c r="B554" s="1" t="s">
        <v>2046</v>
      </c>
      <c r="C554" s="33">
        <v>6953.29</v>
      </c>
      <c r="D554" s="34" t="str">
        <f>HYPERLINK("https://osu.ppy.sh/u/4915954","Timpton")</f>
        <v>Timpton</v>
      </c>
      <c r="E554" s="52" t="s">
        <v>28</v>
      </c>
      <c r="F554" s="36" t="s">
        <v>206</v>
      </c>
      <c r="G554" s="37" t="s">
        <v>29</v>
      </c>
      <c r="H554" s="37" t="s">
        <v>1234</v>
      </c>
      <c r="I554" s="37" t="s">
        <v>336</v>
      </c>
      <c r="J554" s="38" t="s">
        <v>32</v>
      </c>
      <c r="K554" s="39" t="s">
        <v>33</v>
      </c>
      <c r="L554" s="40" t="s">
        <v>257</v>
      </c>
      <c r="M554" s="40" t="s">
        <v>321</v>
      </c>
      <c r="N554" s="40" t="s">
        <v>2047</v>
      </c>
      <c r="O554" s="41" t="s">
        <v>121</v>
      </c>
      <c r="P554" s="72" t="s">
        <v>84</v>
      </c>
      <c r="Q554" s="73" t="s">
        <v>175</v>
      </c>
      <c r="R554" s="73" t="s">
        <v>322</v>
      </c>
      <c r="S554" s="73" t="s">
        <v>323</v>
      </c>
      <c r="T554" s="61" t="s">
        <v>42</v>
      </c>
      <c r="U554" s="40" t="s">
        <v>2048</v>
      </c>
      <c r="V554" s="40" t="s">
        <v>203</v>
      </c>
      <c r="Z554" s="45">
        <v>43525.0</v>
      </c>
    </row>
    <row r="555">
      <c r="A555" s="81" t="s">
        <v>2049</v>
      </c>
      <c r="B555" s="40" t="s">
        <v>2050</v>
      </c>
      <c r="C555" s="76">
        <v>6952.11</v>
      </c>
      <c r="D555" s="77" t="str">
        <f>HYPERLINK("https://osu.ppy.sh/u/6432872","NuunMoon")</f>
        <v>NuunMoon</v>
      </c>
      <c r="E555" s="41" t="s">
        <v>28</v>
      </c>
      <c r="F555" s="145"/>
      <c r="G555" s="57"/>
      <c r="H555" s="57"/>
      <c r="I555" s="57"/>
      <c r="J555" s="57"/>
      <c r="K555" s="115"/>
      <c r="L555" s="57"/>
      <c r="M555" s="57"/>
      <c r="N555" s="57"/>
      <c r="O555" s="57"/>
      <c r="P555" s="146"/>
      <c r="Q555" s="147"/>
      <c r="R555" s="147"/>
      <c r="S555" s="147"/>
      <c r="T555" s="57"/>
      <c r="U555" s="57"/>
      <c r="V555" s="57"/>
      <c r="W555" s="57"/>
      <c r="X555" s="57"/>
      <c r="Y555" s="57"/>
      <c r="Z555" s="148"/>
    </row>
    <row r="556">
      <c r="A556" s="81" t="s">
        <v>476</v>
      </c>
      <c r="B556" s="41" t="s">
        <v>2051</v>
      </c>
      <c r="C556" s="46">
        <v>6944.68</v>
      </c>
      <c r="D556" s="47" t="str">
        <f>HYPERLINK("https://osu.ppy.sh/u/583765","Gon")</f>
        <v>Gon</v>
      </c>
      <c r="E556" s="52" t="s">
        <v>28</v>
      </c>
      <c r="F556" s="100"/>
      <c r="G556" s="101"/>
      <c r="H556" s="101"/>
      <c r="I556" s="101"/>
      <c r="J556" s="49"/>
      <c r="K556" s="82"/>
      <c r="L556" s="69"/>
      <c r="N556" s="69"/>
      <c r="O556" s="69"/>
      <c r="P556" s="79"/>
      <c r="Q556" s="80"/>
      <c r="R556" s="80"/>
      <c r="S556" s="80"/>
      <c r="T556" s="69"/>
      <c r="U556" s="69"/>
      <c r="V556" s="69"/>
    </row>
    <row r="557">
      <c r="A557" s="81" t="s">
        <v>2052</v>
      </c>
      <c r="B557" s="102" t="s">
        <v>423</v>
      </c>
      <c r="C557" s="103">
        <v>6937.71</v>
      </c>
      <c r="D557" s="104" t="str">
        <f>HYPERLINK("https://osu.ppy.sh/u/409747","SiLviA")</f>
        <v>SiLviA</v>
      </c>
      <c r="E557" s="61" t="s">
        <v>28</v>
      </c>
      <c r="F557" s="63">
        <v>1000.0</v>
      </c>
      <c r="G557" s="66" t="s">
        <v>29</v>
      </c>
      <c r="H557" s="64" t="s">
        <v>67</v>
      </c>
      <c r="I557" s="66" t="s">
        <v>80</v>
      </c>
      <c r="J557" s="67" t="s">
        <v>192</v>
      </c>
      <c r="K557" s="82"/>
      <c r="L557" s="61" t="s">
        <v>2053</v>
      </c>
      <c r="M557" s="35" t="s">
        <v>2054</v>
      </c>
      <c r="N557" s="35" t="s">
        <v>174</v>
      </c>
      <c r="O557" s="69"/>
      <c r="P557" s="42">
        <v>65.0</v>
      </c>
      <c r="Q557" s="43">
        <v>90.0</v>
      </c>
      <c r="R557" s="43">
        <v>50.0</v>
      </c>
      <c r="S557" s="43">
        <v>32.0</v>
      </c>
      <c r="T557" s="57"/>
      <c r="U557" s="75" t="s">
        <v>609</v>
      </c>
      <c r="V557" s="75" t="s">
        <v>94</v>
      </c>
      <c r="Z557" s="45">
        <v>42826.0</v>
      </c>
    </row>
    <row r="558">
      <c r="A558" s="81" t="s">
        <v>2055</v>
      </c>
      <c r="B558" s="1" t="s">
        <v>2056</v>
      </c>
      <c r="C558" s="33">
        <v>6923.68</v>
      </c>
      <c r="D558" s="34" t="str">
        <f>HYPERLINK("https://osu.ppy.sh/u/1623405","Okoratu")</f>
        <v>Okoratu</v>
      </c>
      <c r="E558" s="61" t="s">
        <v>28</v>
      </c>
      <c r="F558" s="100"/>
      <c r="G558" s="101"/>
      <c r="H558" s="101"/>
      <c r="I558" s="101"/>
      <c r="J558" s="49"/>
      <c r="K558" s="82"/>
      <c r="L558" s="69"/>
      <c r="M558" s="69"/>
      <c r="N558" s="69"/>
      <c r="O558" s="69"/>
      <c r="P558" s="79"/>
      <c r="Q558" s="80"/>
      <c r="R558" s="80"/>
      <c r="S558" s="80"/>
      <c r="T558" s="57"/>
      <c r="U558" s="57"/>
      <c r="V558" s="57"/>
      <c r="AA558" s="57"/>
    </row>
    <row r="559">
      <c r="A559" s="81" t="s">
        <v>2057</v>
      </c>
      <c r="B559" s="41" t="s">
        <v>2058</v>
      </c>
      <c r="C559" s="46">
        <v>6913.37</v>
      </c>
      <c r="D559" s="47" t="str">
        <f>HYPERLINK("https://osu.ppy.sh/u/4262861","Karlu")</f>
        <v>Karlu</v>
      </c>
      <c r="E559" s="41" t="s">
        <v>28</v>
      </c>
      <c r="F559" s="48" t="s">
        <v>105</v>
      </c>
      <c r="G559" s="48" t="s">
        <v>29</v>
      </c>
      <c r="H559" s="48" t="s">
        <v>137</v>
      </c>
      <c r="I559" s="48" t="s">
        <v>421</v>
      </c>
      <c r="J559" s="59" t="s">
        <v>32</v>
      </c>
      <c r="K559" s="48" t="s">
        <v>33</v>
      </c>
      <c r="L559" s="1" t="s">
        <v>953</v>
      </c>
      <c r="M559" s="1" t="s">
        <v>108</v>
      </c>
      <c r="N559" s="1" t="s">
        <v>2059</v>
      </c>
      <c r="O559" s="1" t="s">
        <v>109</v>
      </c>
      <c r="P559" s="85" t="s">
        <v>110</v>
      </c>
      <c r="Q559" s="86" t="s">
        <v>39</v>
      </c>
      <c r="R559" s="87" t="s">
        <v>72</v>
      </c>
      <c r="S559" s="87" t="s">
        <v>41</v>
      </c>
      <c r="T559" s="48" t="s">
        <v>42</v>
      </c>
      <c r="U559" s="1" t="s">
        <v>683</v>
      </c>
      <c r="V559" s="1" t="s">
        <v>74</v>
      </c>
      <c r="Z559" s="45">
        <v>43739.0</v>
      </c>
    </row>
    <row r="560">
      <c r="A560" s="81" t="s">
        <v>2060</v>
      </c>
      <c r="B560" s="1" t="s">
        <v>2061</v>
      </c>
      <c r="C560" s="33">
        <v>6911.4</v>
      </c>
      <c r="D560" s="94" t="str">
        <f>HYPERLINK("https://osu.ppy.sh/u/2998382","hamato")</f>
        <v>hamato</v>
      </c>
      <c r="E560" s="41" t="s">
        <v>28</v>
      </c>
      <c r="F560" s="151"/>
      <c r="G560" s="53"/>
      <c r="H560" s="53"/>
      <c r="I560" s="53"/>
      <c r="J560" s="54"/>
      <c r="K560" s="152"/>
      <c r="P560" s="91"/>
      <c r="Q560" s="92"/>
      <c r="R560" s="92"/>
      <c r="S560" s="92"/>
      <c r="AA560" s="57"/>
    </row>
    <row r="561">
      <c r="A561" s="81" t="s">
        <v>482</v>
      </c>
      <c r="B561" s="41" t="s">
        <v>2062</v>
      </c>
      <c r="C561" s="46">
        <v>6911.06</v>
      </c>
      <c r="D561" s="105" t="str">
        <f>HYPERLINK("https://osu.ppy.sh/u/1157415","[ Listen ]")</f>
        <v>[ Listen ]</v>
      </c>
      <c r="E561" s="61" t="s">
        <v>28</v>
      </c>
      <c r="F561" s="100"/>
      <c r="G561" s="128"/>
      <c r="H561" s="128"/>
      <c r="I561" s="128"/>
      <c r="J561" s="129"/>
      <c r="K561" s="82"/>
      <c r="L561" s="57"/>
      <c r="M561" s="57"/>
      <c r="N561" s="57"/>
      <c r="O561" s="57"/>
      <c r="P561" s="79"/>
      <c r="Q561" s="80"/>
      <c r="R561" s="80"/>
      <c r="S561" s="80"/>
      <c r="T561" s="57"/>
      <c r="U561" s="57"/>
      <c r="V561" s="57"/>
    </row>
    <row r="562">
      <c r="A562" s="81" t="s">
        <v>2063</v>
      </c>
      <c r="B562" s="41" t="s">
        <v>2064</v>
      </c>
      <c r="C562" s="46">
        <v>6910.6</v>
      </c>
      <c r="D562" s="62" t="str">
        <f>HYPERLINK("https://osu.ppy.sh/u/2535264","anuim1231")</f>
        <v>anuim1231</v>
      </c>
      <c r="E562" s="35" t="s">
        <v>571</v>
      </c>
      <c r="F562" s="100"/>
      <c r="G562" s="128"/>
      <c r="H562" s="128"/>
      <c r="I562" s="128"/>
      <c r="J562" s="129"/>
      <c r="K562" s="82"/>
      <c r="L562" s="57"/>
      <c r="M562" s="75" t="s">
        <v>2065</v>
      </c>
      <c r="N562" s="75" t="s">
        <v>696</v>
      </c>
      <c r="O562" s="75" t="s">
        <v>52</v>
      </c>
      <c r="P562" s="72">
        <v>90.0</v>
      </c>
      <c r="Q562" s="73">
        <v>128.0</v>
      </c>
      <c r="R562" s="73">
        <v>67.0</v>
      </c>
      <c r="S562" s="73">
        <v>40.0</v>
      </c>
      <c r="T562" s="44" t="s">
        <v>42</v>
      </c>
      <c r="U562" s="57"/>
      <c r="V562" s="57"/>
      <c r="AA562" s="57"/>
    </row>
    <row r="563">
      <c r="A563" s="81" t="s">
        <v>2066</v>
      </c>
      <c r="B563" s="41" t="s">
        <v>2067</v>
      </c>
      <c r="C563" s="46">
        <v>6895.2</v>
      </c>
      <c r="D563" s="47" t="str">
        <f>HYPERLINK("https://osu.ppy.sh/u/10709970","burhac")</f>
        <v>burhac</v>
      </c>
      <c r="E563" s="61" t="s">
        <v>28</v>
      </c>
      <c r="F563" s="58">
        <v>1000.0</v>
      </c>
      <c r="G563" s="48" t="s">
        <v>29</v>
      </c>
      <c r="H563" s="37" t="s">
        <v>820</v>
      </c>
      <c r="I563" s="48" t="s">
        <v>31</v>
      </c>
      <c r="J563" s="59" t="s">
        <v>32</v>
      </c>
      <c r="K563" s="53"/>
      <c r="L563" s="55" t="s">
        <v>848</v>
      </c>
      <c r="M563" s="1" t="s">
        <v>139</v>
      </c>
      <c r="N563" s="1" t="s">
        <v>575</v>
      </c>
      <c r="O563" s="40" t="s">
        <v>141</v>
      </c>
      <c r="P563" s="42" t="s">
        <v>71</v>
      </c>
      <c r="Q563" s="43" t="s">
        <v>39</v>
      </c>
      <c r="R563" s="43" t="s">
        <v>72</v>
      </c>
      <c r="S563" s="43" t="s">
        <v>41</v>
      </c>
      <c r="T563" s="40" t="s">
        <v>42</v>
      </c>
      <c r="U563" s="1" t="s">
        <v>2068</v>
      </c>
      <c r="V563" s="1" t="s">
        <v>74</v>
      </c>
      <c r="Z563" s="45">
        <v>43770.0</v>
      </c>
    </row>
    <row r="564">
      <c r="A564" s="81" t="s">
        <v>488</v>
      </c>
      <c r="B564" s="41" t="s">
        <v>2069</v>
      </c>
      <c r="C564" s="46">
        <v>6892.49</v>
      </c>
      <c r="D564" s="84" t="str">
        <f>HYPERLINK("https://osu.ppy.sh/u/4860496","Descaii")</f>
        <v>Descaii</v>
      </c>
      <c r="E564" s="55" t="s">
        <v>571</v>
      </c>
      <c r="F564" s="109"/>
      <c r="G564" s="53"/>
      <c r="H564" s="53"/>
      <c r="I564" s="53"/>
      <c r="J564" s="54"/>
      <c r="K564" s="60"/>
      <c r="L564" s="53"/>
      <c r="P564" s="91"/>
      <c r="Q564" s="92"/>
      <c r="R564" s="93"/>
      <c r="S564" s="93"/>
      <c r="T564" s="53"/>
      <c r="U564" s="53"/>
    </row>
    <row r="565">
      <c r="A565" s="81" t="s">
        <v>2070</v>
      </c>
      <c r="B565" s="41" t="s">
        <v>2071</v>
      </c>
      <c r="C565" s="46">
        <v>6891.69</v>
      </c>
      <c r="D565" s="47" t="str">
        <f>HYPERLINK("https://osu.ppy.sh/u/4438652","Accurian")</f>
        <v>Accurian</v>
      </c>
      <c r="E565" s="118" t="s">
        <v>2072</v>
      </c>
      <c r="F565" s="168">
        <v>1550.0</v>
      </c>
      <c r="G565" s="169" t="s">
        <v>29</v>
      </c>
      <c r="H565" s="169" t="s">
        <v>67</v>
      </c>
      <c r="I565" s="169" t="s">
        <v>31</v>
      </c>
      <c r="J565" s="170" t="s">
        <v>32</v>
      </c>
      <c r="K565" s="171">
        <v>1000.0</v>
      </c>
      <c r="L565" s="172" t="s">
        <v>230</v>
      </c>
      <c r="M565" s="173" t="s">
        <v>238</v>
      </c>
      <c r="N565" s="118" t="s">
        <v>2073</v>
      </c>
      <c r="O565" s="75" t="s">
        <v>70</v>
      </c>
      <c r="P565" s="72">
        <v>126.0</v>
      </c>
      <c r="Q565" s="73">
        <v>128.0</v>
      </c>
      <c r="R565" s="73">
        <v>76.0</v>
      </c>
      <c r="S565" s="73">
        <v>42.0</v>
      </c>
      <c r="T565" s="52" t="s">
        <v>42</v>
      </c>
      <c r="U565" s="118" t="s">
        <v>605</v>
      </c>
      <c r="V565" s="118" t="s">
        <v>74</v>
      </c>
      <c r="AA565" s="57"/>
    </row>
    <row r="566">
      <c r="A566" s="81" t="s">
        <v>2074</v>
      </c>
      <c r="B566" s="41" t="s">
        <v>2075</v>
      </c>
      <c r="C566" s="46">
        <v>6891.2</v>
      </c>
      <c r="D566" s="47" t="str">
        <f>HYPERLINK("https://osu.ppy.sh/u/4223722","[Ninja]")</f>
        <v>[Ninja]</v>
      </c>
      <c r="E566" s="55" t="s">
        <v>571</v>
      </c>
      <c r="F566" s="58" t="s">
        <v>77</v>
      </c>
      <c r="G566" s="48" t="s">
        <v>29</v>
      </c>
      <c r="H566" s="48" t="s">
        <v>527</v>
      </c>
      <c r="I566" s="48" t="s">
        <v>336</v>
      </c>
      <c r="J566" s="59" t="s">
        <v>32</v>
      </c>
      <c r="K566" s="74" t="s">
        <v>33</v>
      </c>
      <c r="L566" s="55" t="s">
        <v>243</v>
      </c>
      <c r="M566" s="1" t="s">
        <v>2076</v>
      </c>
      <c r="N566" s="1" t="s">
        <v>407</v>
      </c>
      <c r="O566" s="1" t="s">
        <v>2077</v>
      </c>
      <c r="P566" s="91"/>
      <c r="Q566" s="92"/>
      <c r="R566" s="93"/>
      <c r="S566" s="93"/>
      <c r="T566" s="53"/>
      <c r="U566" s="53"/>
    </row>
    <row r="567">
      <c r="A567" s="81" t="s">
        <v>2078</v>
      </c>
      <c r="B567" s="1" t="s">
        <v>2079</v>
      </c>
      <c r="C567" s="33">
        <v>6881.44</v>
      </c>
      <c r="D567" s="34" t="str">
        <f>HYPERLINK("https://osu.ppy.sh/u/8882172","LaBiblioteca")</f>
        <v>LaBiblioteca</v>
      </c>
      <c r="E567" s="52" t="s">
        <v>28</v>
      </c>
      <c r="F567" s="36" t="s">
        <v>77</v>
      </c>
      <c r="G567" s="37" t="s">
        <v>29</v>
      </c>
      <c r="H567" s="37" t="s">
        <v>820</v>
      </c>
      <c r="I567" s="37" t="s">
        <v>336</v>
      </c>
      <c r="J567" s="38" t="s">
        <v>32</v>
      </c>
      <c r="K567" s="39" t="s">
        <v>33</v>
      </c>
      <c r="L567" s="40" t="s">
        <v>673</v>
      </c>
      <c r="M567" s="40" t="s">
        <v>2080</v>
      </c>
      <c r="N567" s="40" t="s">
        <v>2081</v>
      </c>
      <c r="O567" s="40" t="s">
        <v>52</v>
      </c>
      <c r="P567" s="42" t="s">
        <v>2082</v>
      </c>
      <c r="Q567" s="43" t="s">
        <v>1039</v>
      </c>
      <c r="R567" s="43" t="s">
        <v>1122</v>
      </c>
      <c r="S567" s="43" t="s">
        <v>329</v>
      </c>
      <c r="T567" s="44" t="s">
        <v>42</v>
      </c>
      <c r="U567" s="40" t="s">
        <v>252</v>
      </c>
      <c r="V567" s="40" t="s">
        <v>94</v>
      </c>
      <c r="Z567" s="45">
        <v>43525.0</v>
      </c>
      <c r="AA567" s="57"/>
    </row>
    <row r="568">
      <c r="A568" s="81" t="s">
        <v>493</v>
      </c>
      <c r="B568" s="41" t="s">
        <v>2083</v>
      </c>
      <c r="C568" s="46">
        <v>6877.92</v>
      </c>
      <c r="D568" s="62" t="str">
        <f>HYPERLINK("https://osu.ppy.sh/u/4728651","MaathKuun")</f>
        <v>MaathKuun</v>
      </c>
      <c r="E568" s="52" t="s">
        <v>28</v>
      </c>
      <c r="F568" s="36" t="s">
        <v>206</v>
      </c>
      <c r="G568" s="37" t="s">
        <v>29</v>
      </c>
      <c r="H568" s="37" t="s">
        <v>1099</v>
      </c>
      <c r="I568" s="37" t="s">
        <v>31</v>
      </c>
      <c r="J568" s="38" t="s">
        <v>32</v>
      </c>
      <c r="K568" s="39" t="s">
        <v>33</v>
      </c>
      <c r="L568" s="40" t="s">
        <v>332</v>
      </c>
      <c r="M568" s="40" t="s">
        <v>199</v>
      </c>
      <c r="N568" s="40" t="s">
        <v>430</v>
      </c>
      <c r="O568" s="75" t="s">
        <v>201</v>
      </c>
      <c r="P568" s="72">
        <v>103.0</v>
      </c>
      <c r="Q568" s="73">
        <v>136.0</v>
      </c>
      <c r="R568" s="73">
        <v>72.0</v>
      </c>
      <c r="S568" s="73">
        <v>41.0</v>
      </c>
      <c r="T568" s="44" t="s">
        <v>42</v>
      </c>
      <c r="U568" s="40" t="s">
        <v>2084</v>
      </c>
      <c r="V568" s="40" t="s">
        <v>925</v>
      </c>
      <c r="Z568" s="45">
        <v>43282.0</v>
      </c>
      <c r="AA568" s="57"/>
    </row>
    <row r="569">
      <c r="A569" s="81" t="s">
        <v>2085</v>
      </c>
      <c r="B569" s="41" t="s">
        <v>2086</v>
      </c>
      <c r="C569" s="46">
        <v>6859.18</v>
      </c>
      <c r="D569" s="47" t="str">
        <f>HYPERLINK("https://osu.ppy.sh/u/2697634","Tsubodai")</f>
        <v>Tsubodai</v>
      </c>
      <c r="E569" s="41" t="s">
        <v>28</v>
      </c>
      <c r="AA569" s="57"/>
    </row>
    <row r="570">
      <c r="A570" s="81" t="s">
        <v>2087</v>
      </c>
      <c r="B570" s="41" t="s">
        <v>2088</v>
      </c>
      <c r="C570" s="46">
        <v>6853.33</v>
      </c>
      <c r="D570" s="47" t="str">
        <f>HYPERLINK("https://osu.ppy.sh/u/6608227","randy bobandy")</f>
        <v>randy bobandy</v>
      </c>
      <c r="E570" s="52" t="s">
        <v>28</v>
      </c>
      <c r="F570" s="36" t="s">
        <v>105</v>
      </c>
      <c r="G570" s="37" t="s">
        <v>29</v>
      </c>
      <c r="H570" s="37" t="s">
        <v>67</v>
      </c>
      <c r="I570" s="37" t="s">
        <v>31</v>
      </c>
      <c r="J570" s="38" t="s">
        <v>32</v>
      </c>
      <c r="K570" s="39" t="s">
        <v>33</v>
      </c>
      <c r="L570" s="40" t="s">
        <v>222</v>
      </c>
      <c r="M570" s="40" t="s">
        <v>1009</v>
      </c>
      <c r="N570" s="40" t="s">
        <v>2089</v>
      </c>
      <c r="O570" s="55" t="s">
        <v>1010</v>
      </c>
      <c r="P570" s="48" t="s">
        <v>166</v>
      </c>
      <c r="Q570" s="48" t="s">
        <v>1574</v>
      </c>
      <c r="R570" s="48" t="s">
        <v>1012</v>
      </c>
      <c r="S570" s="48" t="s">
        <v>87</v>
      </c>
      <c r="T570" s="40" t="s">
        <v>42</v>
      </c>
      <c r="U570" s="40" t="s">
        <v>2090</v>
      </c>
      <c r="V570" s="40" t="s">
        <v>89</v>
      </c>
      <c r="Z570" s="45">
        <v>43435.0</v>
      </c>
      <c r="AA570" s="57"/>
    </row>
    <row r="571">
      <c r="A571" s="81" t="s">
        <v>2091</v>
      </c>
      <c r="B571" s="102" t="s">
        <v>423</v>
      </c>
      <c r="C571" s="103">
        <v>6853.09</v>
      </c>
      <c r="D571" s="137" t="str">
        <f>HYPERLINK("https://osu.ppy.sh/u/2714188","Ajo Joestar")</f>
        <v>Ajo Joestar</v>
      </c>
      <c r="E571" s="52"/>
      <c r="F571" s="100"/>
      <c r="G571" s="101"/>
      <c r="H571" s="101"/>
      <c r="I571" s="101"/>
      <c r="J571" s="49"/>
      <c r="K571" s="82"/>
      <c r="L571" s="69"/>
      <c r="M571" s="69"/>
      <c r="N571" s="69"/>
      <c r="O571" s="69"/>
      <c r="P571" s="79"/>
      <c r="Q571" s="80"/>
      <c r="R571" s="80"/>
      <c r="S571" s="80"/>
      <c r="T571" s="69"/>
      <c r="U571" s="69"/>
      <c r="V571" s="69"/>
      <c r="AA571" s="57"/>
    </row>
    <row r="572">
      <c r="A572" s="81" t="s">
        <v>2092</v>
      </c>
      <c r="B572" s="1" t="s">
        <v>2093</v>
      </c>
      <c r="C572" s="33">
        <v>6848.96</v>
      </c>
      <c r="D572" s="34" t="str">
        <f>HYPERLINK("https://osu.ppy.sh/u/7250805","zelick")</f>
        <v>zelick</v>
      </c>
      <c r="E572" s="61" t="s">
        <v>28</v>
      </c>
      <c r="F572" s="58">
        <v>1000.0</v>
      </c>
      <c r="G572" s="48" t="s">
        <v>29</v>
      </c>
      <c r="H572" s="48" t="s">
        <v>67</v>
      </c>
      <c r="I572" s="48" t="s">
        <v>31</v>
      </c>
      <c r="J572" s="59" t="s">
        <v>32</v>
      </c>
      <c r="K572" s="71">
        <v>1000.0</v>
      </c>
      <c r="L572" s="1" t="s">
        <v>417</v>
      </c>
      <c r="M572" s="1" t="s">
        <v>1209</v>
      </c>
      <c r="N572" s="1" t="s">
        <v>2094</v>
      </c>
      <c r="O572" s="1" t="s">
        <v>141</v>
      </c>
      <c r="P572" s="85" t="s">
        <v>71</v>
      </c>
      <c r="Q572" s="86" t="s">
        <v>39</v>
      </c>
      <c r="R572" s="86" t="s">
        <v>72</v>
      </c>
      <c r="S572" s="86" t="s">
        <v>41</v>
      </c>
      <c r="T572" s="52" t="s">
        <v>42</v>
      </c>
      <c r="U572" s="1" t="s">
        <v>2095</v>
      </c>
      <c r="V572" s="1" t="s">
        <v>2096</v>
      </c>
      <c r="Z572" s="45">
        <v>43709.0</v>
      </c>
    </row>
    <row r="573">
      <c r="A573" s="81" t="s">
        <v>2097</v>
      </c>
      <c r="B573" s="1" t="s">
        <v>2098</v>
      </c>
      <c r="C573" s="33">
        <v>6846.49</v>
      </c>
      <c r="D573" s="34" t="str">
        <f>HYPERLINK("https://osu.ppy.sh/u/4126039","doghowler45")</f>
        <v>doghowler45</v>
      </c>
      <c r="E573" s="41" t="s">
        <v>28</v>
      </c>
      <c r="G573" s="53"/>
      <c r="I573" s="53"/>
      <c r="J573" s="54"/>
    </row>
    <row r="574">
      <c r="A574" s="81" t="s">
        <v>501</v>
      </c>
      <c r="B574" s="111" t="s">
        <v>423</v>
      </c>
      <c r="C574" s="112">
        <v>6836.13</v>
      </c>
      <c r="D574" s="113" t="str">
        <f>HYPERLINK("https://osu.ppy.sh/u/3599809","Eqo")</f>
        <v>Eqo</v>
      </c>
      <c r="E574" s="41" t="s">
        <v>28</v>
      </c>
      <c r="F574" s="109"/>
      <c r="G574" s="53"/>
      <c r="H574" s="53"/>
      <c r="I574" s="53"/>
      <c r="J574" s="54"/>
      <c r="K574" s="60"/>
      <c r="P574" s="91"/>
      <c r="Q574" s="92"/>
      <c r="R574" s="92"/>
      <c r="S574" s="92"/>
      <c r="Z574" s="45"/>
      <c r="AA574" s="57"/>
    </row>
    <row r="575">
      <c r="A575" s="81" t="s">
        <v>506</v>
      </c>
      <c r="B575" s="41" t="s">
        <v>2099</v>
      </c>
      <c r="C575" s="46">
        <v>6830.54</v>
      </c>
      <c r="D575" s="47" t="str">
        <f>HYPERLINK("https://osu.ppy.sh/u/2710814","Bidoofed")</f>
        <v>Bidoofed</v>
      </c>
      <c r="E575" s="52" t="s">
        <v>28</v>
      </c>
      <c r="F575" s="36" t="s">
        <v>105</v>
      </c>
      <c r="G575" s="37" t="s">
        <v>29</v>
      </c>
      <c r="H575" s="37" t="s">
        <v>67</v>
      </c>
      <c r="I575" s="37" t="s">
        <v>293</v>
      </c>
      <c r="J575" s="38" t="s">
        <v>32</v>
      </c>
      <c r="K575" s="82"/>
      <c r="L575" s="69"/>
      <c r="M575" s="40" t="s">
        <v>185</v>
      </c>
      <c r="N575" s="40" t="s">
        <v>1038</v>
      </c>
      <c r="O575" s="40" t="s">
        <v>141</v>
      </c>
      <c r="P575" s="42" t="s">
        <v>187</v>
      </c>
      <c r="Q575" s="43" t="s">
        <v>39</v>
      </c>
      <c r="R575" s="43" t="s">
        <v>72</v>
      </c>
      <c r="S575" s="43" t="s">
        <v>41</v>
      </c>
      <c r="T575" s="40" t="s">
        <v>42</v>
      </c>
      <c r="U575" s="40" t="s">
        <v>117</v>
      </c>
      <c r="V575" s="40" t="s">
        <v>74</v>
      </c>
      <c r="Z575" s="45">
        <v>43435.0</v>
      </c>
      <c r="AA575" s="57"/>
    </row>
    <row r="576">
      <c r="A576" s="81" t="s">
        <v>2100</v>
      </c>
      <c r="B576" s="41" t="s">
        <v>2101</v>
      </c>
      <c r="C576" s="46">
        <v>6816.95</v>
      </c>
      <c r="D576" s="84" t="str">
        <f>HYPERLINK("https://osu.ppy.sh/u/3184203","EvanSTEP")</f>
        <v>EvanSTEP</v>
      </c>
      <c r="E576" s="61" t="s">
        <v>28</v>
      </c>
      <c r="F576" s="63">
        <v>720.0</v>
      </c>
      <c r="G576" s="66" t="s">
        <v>29</v>
      </c>
      <c r="H576" s="66" t="s">
        <v>67</v>
      </c>
      <c r="I576" s="66" t="s">
        <v>31</v>
      </c>
      <c r="J576" s="70" t="s">
        <v>32</v>
      </c>
      <c r="K576" s="71">
        <v>500.0</v>
      </c>
      <c r="L576" s="44" t="s">
        <v>386</v>
      </c>
      <c r="M576" s="35" t="s">
        <v>199</v>
      </c>
      <c r="N576" s="35" t="s">
        <v>174</v>
      </c>
      <c r="O576" s="35" t="s">
        <v>201</v>
      </c>
      <c r="P576" s="72">
        <v>103.0</v>
      </c>
      <c r="Q576" s="73">
        <v>136.0</v>
      </c>
      <c r="R576" s="73">
        <v>72.0</v>
      </c>
      <c r="S576" s="73">
        <v>41.0</v>
      </c>
      <c r="T576" s="44" t="s">
        <v>42</v>
      </c>
      <c r="U576" s="75" t="s">
        <v>409</v>
      </c>
      <c r="V576" s="75" t="s">
        <v>94</v>
      </c>
      <c r="AA576" s="57"/>
    </row>
    <row r="577">
      <c r="A577" s="81" t="s">
        <v>2102</v>
      </c>
      <c r="B577" s="1" t="s">
        <v>2103</v>
      </c>
      <c r="C577" s="33">
        <v>6786.82</v>
      </c>
      <c r="D577" s="34" t="str">
        <f>HYPERLINK("https://osu.ppy.sh/u/646264","pgm")</f>
        <v>pgm</v>
      </c>
      <c r="E577" s="35" t="s">
        <v>571</v>
      </c>
      <c r="F577" s="100"/>
      <c r="G577" s="128"/>
      <c r="H577" s="128"/>
      <c r="I577" s="128"/>
      <c r="J577" s="129"/>
      <c r="K577" s="82"/>
      <c r="L577" s="57"/>
      <c r="M577" s="57"/>
      <c r="N577" s="57"/>
      <c r="O577" s="57"/>
      <c r="P577" s="79"/>
      <c r="Q577" s="80"/>
      <c r="R577" s="80"/>
      <c r="S577" s="80"/>
      <c r="T577" s="57"/>
      <c r="U577" s="57"/>
      <c r="V577" s="57"/>
      <c r="AA577" s="57"/>
    </row>
    <row r="578">
      <c r="A578" s="81" t="s">
        <v>2104</v>
      </c>
      <c r="B578" s="1" t="s">
        <v>2105</v>
      </c>
      <c r="C578" s="33">
        <v>6780.72</v>
      </c>
      <c r="D578" s="34" t="str">
        <f>HYPERLINK("https://osu.ppy.sh/u/6090254","Lemmen")</f>
        <v>Lemmen</v>
      </c>
      <c r="E578" s="41" t="s">
        <v>28</v>
      </c>
      <c r="G578" s="53"/>
      <c r="I578" s="53"/>
      <c r="J578" s="54"/>
      <c r="AA578" s="57"/>
    </row>
    <row r="579">
      <c r="A579" s="81" t="s">
        <v>2106</v>
      </c>
      <c r="B579" s="41" t="s">
        <v>2107</v>
      </c>
      <c r="C579" s="46">
        <v>6779.67</v>
      </c>
      <c r="D579" s="105" t="str">
        <f>HYPERLINK("https://osu.ppy.sh/u/2885130","KKale")</f>
        <v>KKale</v>
      </c>
      <c r="E579" s="52" t="s">
        <v>571</v>
      </c>
      <c r="F579" s="100"/>
      <c r="G579" s="101"/>
      <c r="H579" s="101"/>
      <c r="I579" s="101"/>
      <c r="J579" s="49"/>
      <c r="K579" s="82"/>
      <c r="L579" s="69"/>
      <c r="M579" s="69"/>
      <c r="N579" s="69"/>
      <c r="O579" s="69"/>
      <c r="P579" s="79"/>
      <c r="Q579" s="80"/>
      <c r="R579" s="80"/>
      <c r="S579" s="80"/>
      <c r="T579" s="69"/>
      <c r="U579" s="69"/>
      <c r="V579" s="69"/>
      <c r="AA579" s="57"/>
    </row>
    <row r="580">
      <c r="A580" s="81" t="s">
        <v>2108</v>
      </c>
      <c r="B580" s="1" t="s">
        <v>2109</v>
      </c>
      <c r="C580" s="33">
        <v>6776.52</v>
      </c>
      <c r="D580" s="34" t="str">
        <f>HYPERLINK("https://osu.ppy.sh/u/1407094","Ldd-D")</f>
        <v>Ldd-D</v>
      </c>
      <c r="E580" s="55" t="s">
        <v>28</v>
      </c>
      <c r="F580" s="109"/>
      <c r="G580" s="53"/>
      <c r="H580" s="53"/>
      <c r="I580" s="53"/>
      <c r="J580" s="54"/>
      <c r="K580" s="60"/>
      <c r="L580" s="53"/>
      <c r="P580" s="91"/>
      <c r="Q580" s="92"/>
      <c r="R580" s="93"/>
      <c r="S580" s="93"/>
      <c r="T580" s="53"/>
      <c r="U580" s="53"/>
      <c r="AA580" s="57"/>
    </row>
    <row r="581">
      <c r="A581" s="81" t="s">
        <v>2110</v>
      </c>
      <c r="B581" s="41" t="s">
        <v>2111</v>
      </c>
      <c r="C581" s="46">
        <v>6775.16</v>
      </c>
      <c r="D581" s="105" t="str">
        <f>HYPERLINK("https://osu.ppy.sh/u/3166753","H_Scarlet")</f>
        <v>H_Scarlet</v>
      </c>
      <c r="E581" s="52" t="s">
        <v>372</v>
      </c>
      <c r="F581" s="58" t="s">
        <v>105</v>
      </c>
      <c r="G581" s="48" t="s">
        <v>78</v>
      </c>
      <c r="H581" s="48" t="s">
        <v>2112</v>
      </c>
      <c r="I581" s="48" t="s">
        <v>31</v>
      </c>
      <c r="J581" s="59" t="s">
        <v>32</v>
      </c>
      <c r="K581" s="60"/>
      <c r="L581" s="1" t="s">
        <v>2113</v>
      </c>
      <c r="M581" s="1" t="s">
        <v>2114</v>
      </c>
      <c r="O581" s="1" t="s">
        <v>2115</v>
      </c>
      <c r="P581" s="85" t="s">
        <v>2116</v>
      </c>
      <c r="Q581" s="86" t="s">
        <v>745</v>
      </c>
      <c r="R581" s="86" t="s">
        <v>2117</v>
      </c>
      <c r="S581" s="86" t="s">
        <v>217</v>
      </c>
      <c r="T581" s="35" t="s">
        <v>42</v>
      </c>
      <c r="U581" s="1" t="s">
        <v>2118</v>
      </c>
      <c r="V581" s="1" t="s">
        <v>74</v>
      </c>
      <c r="Z581" s="45">
        <v>43160.0</v>
      </c>
      <c r="AA581" s="57"/>
    </row>
    <row r="582">
      <c r="A582" s="81" t="s">
        <v>2119</v>
      </c>
      <c r="B582" s="1" t="s">
        <v>2120</v>
      </c>
      <c r="C582" s="33">
        <v>6772.44</v>
      </c>
      <c r="D582" s="34" t="str">
        <f>HYPERLINK("https://osu.ppy.sh/u/4542327","bobsta14")</f>
        <v>bobsta14</v>
      </c>
      <c r="E582" s="52" t="s">
        <v>28</v>
      </c>
      <c r="G582" s="53"/>
      <c r="I582" s="53"/>
      <c r="J582" s="54"/>
      <c r="AA582" s="57"/>
    </row>
    <row r="583">
      <c r="A583" s="81" t="s">
        <v>2121</v>
      </c>
      <c r="B583" s="1" t="s">
        <v>2122</v>
      </c>
      <c r="C583" s="33">
        <v>6771.67</v>
      </c>
      <c r="D583" s="34" t="str">
        <f>HYPERLINK("https://osu.ppy.sh/u/2808971","yumether")</f>
        <v>yumether</v>
      </c>
      <c r="E583" s="41" t="s">
        <v>28</v>
      </c>
      <c r="G583" s="53"/>
      <c r="I583" s="53"/>
      <c r="J583" s="54"/>
      <c r="AA583" s="57"/>
    </row>
    <row r="584">
      <c r="A584" s="81" t="s">
        <v>2123</v>
      </c>
      <c r="B584" s="41" t="s">
        <v>2124</v>
      </c>
      <c r="C584" s="46">
        <v>6767.75</v>
      </c>
      <c r="D584" s="47" t="str">
        <f>HYPERLINK("https://osu.ppy.sh/u/7484046","Ssauw")</f>
        <v>Ssauw</v>
      </c>
      <c r="E584" s="52" t="s">
        <v>28</v>
      </c>
      <c r="F584" s="58" t="s">
        <v>952</v>
      </c>
      <c r="G584" s="48" t="s">
        <v>29</v>
      </c>
      <c r="H584" s="48" t="s">
        <v>67</v>
      </c>
      <c r="I584" s="48" t="s">
        <v>229</v>
      </c>
      <c r="J584" s="59" t="s">
        <v>32</v>
      </c>
      <c r="K584" s="74" t="s">
        <v>33</v>
      </c>
      <c r="L584" s="1" t="s">
        <v>755</v>
      </c>
      <c r="M584" s="1" t="s">
        <v>108</v>
      </c>
      <c r="N584" s="1" t="s">
        <v>780</v>
      </c>
      <c r="O584" s="1" t="s">
        <v>109</v>
      </c>
      <c r="P584" s="85" t="s">
        <v>110</v>
      </c>
      <c r="Q584" s="86" t="s">
        <v>39</v>
      </c>
      <c r="R584" s="87" t="s">
        <v>72</v>
      </c>
      <c r="S584" s="87" t="s">
        <v>41</v>
      </c>
      <c r="T584" s="48" t="s">
        <v>42</v>
      </c>
      <c r="U584" s="1" t="s">
        <v>831</v>
      </c>
      <c r="V584" s="1" t="s">
        <v>74</v>
      </c>
      <c r="Z584" s="45">
        <v>43160.0</v>
      </c>
      <c r="AA584" s="57"/>
    </row>
    <row r="585">
      <c r="A585" s="81" t="s">
        <v>2125</v>
      </c>
      <c r="B585" s="41" t="s">
        <v>2126</v>
      </c>
      <c r="C585" s="46">
        <v>6746.2</v>
      </c>
      <c r="D585" s="62" t="str">
        <f>HYPERLINK("https://osu.ppy.sh/u/2078271","Sokru")</f>
        <v>Sokru</v>
      </c>
      <c r="E585" s="52" t="s">
        <v>28</v>
      </c>
      <c r="F585" s="100"/>
      <c r="G585" s="128"/>
      <c r="H585" s="128"/>
      <c r="I585" s="128"/>
      <c r="J585" s="129"/>
      <c r="K585" s="82"/>
      <c r="L585" s="57"/>
      <c r="M585" s="57"/>
      <c r="N585" s="57"/>
      <c r="O585" s="57"/>
      <c r="P585" s="79"/>
      <c r="Q585" s="80"/>
      <c r="R585" s="80"/>
      <c r="S585" s="80"/>
      <c r="T585" s="69"/>
      <c r="U585" s="69"/>
      <c r="V585" s="69"/>
      <c r="AA585" s="57"/>
    </row>
    <row r="586">
      <c r="A586" s="81" t="s">
        <v>2127</v>
      </c>
      <c r="B586" s="1" t="s">
        <v>2128</v>
      </c>
      <c r="C586" s="33">
        <v>6735.76</v>
      </c>
      <c r="D586" s="34" t="str">
        <f>HYPERLINK("https://osu.ppy.sh/u/1320231","DrakRainbow")</f>
        <v>DrakRainbow</v>
      </c>
      <c r="E586" s="41" t="s">
        <v>28</v>
      </c>
      <c r="G586" s="53"/>
      <c r="I586" s="53"/>
      <c r="J586" s="54"/>
      <c r="AA586" s="57"/>
    </row>
    <row r="587">
      <c r="A587" s="81" t="s">
        <v>2129</v>
      </c>
      <c r="B587" s="41" t="s">
        <v>2130</v>
      </c>
      <c r="C587" s="46">
        <v>6732.87</v>
      </c>
      <c r="D587" s="105" t="str">
        <f>HYPERLINK("https://osu.ppy.sh/u/1794083","Weyland")</f>
        <v>Weyland</v>
      </c>
      <c r="E587" s="35" t="s">
        <v>571</v>
      </c>
      <c r="F587" s="63">
        <v>700.0</v>
      </c>
      <c r="G587" s="66" t="s">
        <v>29</v>
      </c>
      <c r="H587" s="66" t="s">
        <v>67</v>
      </c>
      <c r="I587" s="66" t="s">
        <v>31</v>
      </c>
      <c r="J587" s="49"/>
      <c r="K587" s="82"/>
      <c r="L587" s="61" t="s">
        <v>411</v>
      </c>
      <c r="M587" s="35" t="s">
        <v>658</v>
      </c>
      <c r="N587" s="35" t="s">
        <v>696</v>
      </c>
      <c r="O587" s="35" t="s">
        <v>52</v>
      </c>
      <c r="P587" s="72">
        <v>102.0</v>
      </c>
      <c r="Q587" s="73">
        <v>131.0</v>
      </c>
      <c r="R587" s="73">
        <v>72.0</v>
      </c>
      <c r="S587" s="73">
        <v>42.0</v>
      </c>
      <c r="T587" s="61" t="s">
        <v>218</v>
      </c>
      <c r="U587" s="174" t="s">
        <v>866</v>
      </c>
      <c r="V587" s="174" t="s">
        <v>89</v>
      </c>
      <c r="AA587" s="57"/>
    </row>
    <row r="588">
      <c r="A588" s="81" t="s">
        <v>2131</v>
      </c>
      <c r="B588" s="1" t="s">
        <v>2132</v>
      </c>
      <c r="C588" s="33">
        <v>6729.35</v>
      </c>
      <c r="D588" s="34" t="str">
        <f>HYPERLINK("https://osu.ppy.sh/u/2509174","[Kudryavka]")</f>
        <v>[Kudryavka]</v>
      </c>
      <c r="E588" s="61" t="s">
        <v>28</v>
      </c>
      <c r="G588" s="128"/>
      <c r="H588" s="128"/>
      <c r="I588" s="64" t="s">
        <v>31</v>
      </c>
      <c r="J588" s="129"/>
      <c r="K588" s="82"/>
      <c r="L588" s="44" t="s">
        <v>2133</v>
      </c>
      <c r="M588" s="75" t="s">
        <v>1617</v>
      </c>
      <c r="N588" s="57"/>
      <c r="O588" s="35" t="s">
        <v>314</v>
      </c>
      <c r="P588" s="42" t="s">
        <v>801</v>
      </c>
      <c r="Q588" s="43" t="s">
        <v>367</v>
      </c>
      <c r="R588" s="43" t="s">
        <v>347</v>
      </c>
      <c r="S588" s="43" t="s">
        <v>368</v>
      </c>
      <c r="T588" s="44" t="s">
        <v>42</v>
      </c>
      <c r="U588" s="75" t="s">
        <v>2134</v>
      </c>
      <c r="V588" s="75" t="s">
        <v>74</v>
      </c>
      <c r="AA588" s="57"/>
    </row>
    <row r="589">
      <c r="A589" s="81" t="s">
        <v>2135</v>
      </c>
      <c r="B589" s="40" t="s">
        <v>2136</v>
      </c>
      <c r="C589" s="76">
        <v>6713.67</v>
      </c>
      <c r="D589" s="77" t="str">
        <f>HYPERLINK("https://osu.ppy.sh/u/3885390","I Give Up")</f>
        <v>I Give Up</v>
      </c>
      <c r="E589" s="35" t="s">
        <v>28</v>
      </c>
      <c r="F589" s="63" t="s">
        <v>105</v>
      </c>
      <c r="G589" s="64" t="s">
        <v>29</v>
      </c>
      <c r="H589" s="64" t="s">
        <v>67</v>
      </c>
      <c r="I589" s="65" t="s">
        <v>98</v>
      </c>
      <c r="J589" s="67" t="s">
        <v>32</v>
      </c>
      <c r="K589" s="71">
        <v>1000.0</v>
      </c>
      <c r="L589" s="52" t="s">
        <v>953</v>
      </c>
      <c r="M589" s="41" t="s">
        <v>454</v>
      </c>
      <c r="N589" s="35" t="s">
        <v>696</v>
      </c>
      <c r="O589" s="40" t="s">
        <v>455</v>
      </c>
      <c r="P589" s="42" t="s">
        <v>456</v>
      </c>
      <c r="Q589" s="43" t="s">
        <v>457</v>
      </c>
      <c r="R589" s="43" t="s">
        <v>458</v>
      </c>
      <c r="S589" s="43" t="s">
        <v>251</v>
      </c>
      <c r="T589" s="35" t="s">
        <v>42</v>
      </c>
      <c r="U589" s="41" t="s">
        <v>369</v>
      </c>
      <c r="V589" s="41" t="s">
        <v>74</v>
      </c>
      <c r="AA589" s="57"/>
    </row>
    <row r="590">
      <c r="A590" s="81" t="s">
        <v>2137</v>
      </c>
      <c r="B590" s="41" t="s">
        <v>2138</v>
      </c>
      <c r="C590" s="46">
        <v>6712.09</v>
      </c>
      <c r="D590" s="47" t="str">
        <f>HYPERLINK("https://osu.ppy.sh/u/5039267","Human Trash")</f>
        <v>Human Trash</v>
      </c>
      <c r="E590" s="52" t="s">
        <v>28</v>
      </c>
      <c r="F590" s="48" t="s">
        <v>105</v>
      </c>
      <c r="G590" s="48" t="s">
        <v>29</v>
      </c>
      <c r="H590" s="48" t="s">
        <v>67</v>
      </c>
      <c r="I590" s="48" t="s">
        <v>31</v>
      </c>
      <c r="J590" s="59" t="s">
        <v>32</v>
      </c>
      <c r="K590" s="48" t="s">
        <v>33</v>
      </c>
      <c r="L590" s="40" t="s">
        <v>222</v>
      </c>
      <c r="M590" s="1" t="s">
        <v>2139</v>
      </c>
      <c r="N590" s="1" t="s">
        <v>328</v>
      </c>
      <c r="O590" s="35" t="s">
        <v>278</v>
      </c>
      <c r="P590" s="72">
        <v>90.0</v>
      </c>
      <c r="Q590" s="73">
        <v>115.0</v>
      </c>
      <c r="R590" s="73">
        <v>63.0</v>
      </c>
      <c r="S590" s="73">
        <v>38.0</v>
      </c>
      <c r="T590" s="61" t="s">
        <v>42</v>
      </c>
      <c r="U590" s="1" t="s">
        <v>2140</v>
      </c>
      <c r="V590" s="1" t="s">
        <v>1693</v>
      </c>
      <c r="Z590" s="45">
        <v>43770.0</v>
      </c>
    </row>
    <row r="591">
      <c r="A591" s="81" t="s">
        <v>2141</v>
      </c>
      <c r="B591" s="1" t="s">
        <v>2142</v>
      </c>
      <c r="C591" s="33">
        <v>6705.58</v>
      </c>
      <c r="D591" s="34" t="str">
        <f>HYPERLINK("https://osu.ppy.sh/u/3455592","TrueKoalaLove")</f>
        <v>TrueKoalaLove</v>
      </c>
      <c r="E591" s="41" t="s">
        <v>28</v>
      </c>
      <c r="F591" s="109"/>
      <c r="G591" s="53"/>
      <c r="H591" s="53"/>
      <c r="I591" s="53"/>
      <c r="J591" s="54"/>
      <c r="K591" s="60"/>
      <c r="P591" s="91"/>
      <c r="Q591" s="92"/>
      <c r="R591" s="92"/>
      <c r="S591" s="92"/>
      <c r="Z591" s="45"/>
      <c r="AA591" s="57"/>
    </row>
    <row r="592">
      <c r="A592" s="81" t="s">
        <v>2143</v>
      </c>
      <c r="B592" s="1" t="s">
        <v>2144</v>
      </c>
      <c r="C592" s="33">
        <v>6690.4</v>
      </c>
      <c r="D592" s="34" t="str">
        <f>HYPERLINK("https://osu.ppy.sh/u/4938405","nuc")</f>
        <v>nuc</v>
      </c>
      <c r="E592" s="41" t="s">
        <v>28</v>
      </c>
      <c r="F592" s="53"/>
      <c r="G592" s="53"/>
      <c r="H592" s="53"/>
      <c r="I592" s="53"/>
      <c r="J592" s="54"/>
      <c r="K592" s="53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Z592" s="45"/>
      <c r="AA592" s="57"/>
    </row>
    <row r="593">
      <c r="A593" s="81" t="s">
        <v>2145</v>
      </c>
      <c r="B593" s="102" t="s">
        <v>423</v>
      </c>
      <c r="C593" s="103">
        <v>6657.62</v>
      </c>
      <c r="D593" s="137" t="str">
        <f>HYPERLINK("https://osu.ppy.sh/u/732519","ishtar")</f>
        <v>ishtar</v>
      </c>
      <c r="E593" s="61" t="s">
        <v>571</v>
      </c>
      <c r="F593" s="100"/>
      <c r="G593" s="101"/>
      <c r="H593" s="101"/>
      <c r="I593" s="101"/>
      <c r="J593" s="49"/>
      <c r="K593" s="82"/>
      <c r="L593" s="69"/>
      <c r="M593" s="69"/>
      <c r="N593" s="69"/>
      <c r="O593" s="69"/>
      <c r="P593" s="79"/>
      <c r="Q593" s="80"/>
      <c r="R593" s="80"/>
      <c r="S593" s="80"/>
      <c r="T593" s="69"/>
      <c r="U593" s="69"/>
      <c r="V593" s="69"/>
      <c r="AA593" s="57"/>
    </row>
    <row r="594">
      <c r="A594" s="81" t="s">
        <v>2146</v>
      </c>
      <c r="B594" s="1" t="s">
        <v>2147</v>
      </c>
      <c r="C594" s="33">
        <v>6651.96</v>
      </c>
      <c r="D594" s="34" t="str">
        <f>HYPERLINK("https://osu.ppy.sh/u/1726105","Haxwell")</f>
        <v>Haxwell</v>
      </c>
      <c r="E594" s="61" t="s">
        <v>28</v>
      </c>
      <c r="F594" s="63">
        <v>400.0</v>
      </c>
      <c r="G594" s="66" t="s">
        <v>2148</v>
      </c>
      <c r="H594" s="66" t="s">
        <v>394</v>
      </c>
      <c r="I594" s="66" t="s">
        <v>267</v>
      </c>
      <c r="J594" s="70" t="s">
        <v>192</v>
      </c>
      <c r="K594" s="82"/>
      <c r="L594" s="61" t="s">
        <v>230</v>
      </c>
      <c r="M594" s="35" t="s">
        <v>962</v>
      </c>
      <c r="N594" s="35" t="s">
        <v>2149</v>
      </c>
      <c r="O594" s="35" t="s">
        <v>524</v>
      </c>
      <c r="P594" s="72">
        <v>90.0</v>
      </c>
      <c r="Q594" s="73">
        <v>128.0</v>
      </c>
      <c r="R594" s="73">
        <v>67.0</v>
      </c>
      <c r="S594" s="73">
        <v>37.0</v>
      </c>
      <c r="T594" s="44" t="s">
        <v>53</v>
      </c>
      <c r="U594" s="75" t="s">
        <v>2150</v>
      </c>
      <c r="V594" s="75" t="s">
        <v>74</v>
      </c>
      <c r="Z594" s="45">
        <v>42826.0</v>
      </c>
      <c r="AA594" s="57"/>
    </row>
    <row r="595">
      <c r="A595" s="81" t="s">
        <v>2151</v>
      </c>
      <c r="B595" s="1" t="s">
        <v>2152</v>
      </c>
      <c r="C595" s="33">
        <v>6646.29</v>
      </c>
      <c r="D595" s="34" t="str">
        <f>HYPERLINK("https://osu.ppy.sh/u/2348056","BRAH")</f>
        <v>BRAH</v>
      </c>
      <c r="E595" s="35" t="s">
        <v>28</v>
      </c>
      <c r="F595" s="63">
        <v>600.0</v>
      </c>
      <c r="G595" s="66" t="s">
        <v>29</v>
      </c>
      <c r="H595" s="101"/>
      <c r="I595" s="101"/>
      <c r="J595" s="49"/>
      <c r="K595" s="71">
        <v>1000.0</v>
      </c>
      <c r="L595" s="40"/>
      <c r="M595" s="35" t="s">
        <v>406</v>
      </c>
      <c r="N595" s="69"/>
      <c r="O595" s="35" t="s">
        <v>408</v>
      </c>
      <c r="P595" s="72">
        <v>105.0</v>
      </c>
      <c r="Q595" s="73">
        <v>130.0</v>
      </c>
      <c r="R595" s="73">
        <v>70.0</v>
      </c>
      <c r="S595" s="73">
        <v>43.0</v>
      </c>
      <c r="T595" s="44" t="s">
        <v>42</v>
      </c>
      <c r="U595" s="75" t="s">
        <v>117</v>
      </c>
      <c r="V595" s="75" t="s">
        <v>89</v>
      </c>
      <c r="AA595" s="57"/>
    </row>
    <row r="596">
      <c r="A596" s="81" t="s">
        <v>2153</v>
      </c>
      <c r="B596" s="41" t="s">
        <v>2154</v>
      </c>
      <c r="C596" s="46">
        <v>6623.12</v>
      </c>
      <c r="D596" s="47" t="str">
        <f>HYPERLINK("https://osu.ppy.sh/u/5116662","Brendan")</f>
        <v>Brendan</v>
      </c>
      <c r="E596" s="52" t="s">
        <v>571</v>
      </c>
      <c r="F596" s="58" t="s">
        <v>105</v>
      </c>
      <c r="G596" s="48" t="s">
        <v>29</v>
      </c>
      <c r="H596" s="48" t="s">
        <v>2155</v>
      </c>
      <c r="I596" s="48" t="s">
        <v>31</v>
      </c>
      <c r="J596" s="59" t="s">
        <v>32</v>
      </c>
      <c r="K596" s="74" t="s">
        <v>33</v>
      </c>
      <c r="L596" s="1" t="s">
        <v>2156</v>
      </c>
      <c r="M596" s="1" t="s">
        <v>185</v>
      </c>
      <c r="N596" s="1" t="s">
        <v>696</v>
      </c>
      <c r="O596" s="40" t="s">
        <v>141</v>
      </c>
      <c r="P596" s="42" t="s">
        <v>187</v>
      </c>
      <c r="Q596" s="43" t="s">
        <v>39</v>
      </c>
      <c r="R596" s="43" t="s">
        <v>72</v>
      </c>
      <c r="S596" s="43" t="s">
        <v>41</v>
      </c>
      <c r="T596" s="40" t="s">
        <v>42</v>
      </c>
      <c r="Z596" s="45">
        <v>43344.0</v>
      </c>
      <c r="AA596" s="57"/>
    </row>
    <row r="597">
      <c r="A597" s="81" t="s">
        <v>2157</v>
      </c>
      <c r="B597" s="1" t="s">
        <v>2158</v>
      </c>
      <c r="C597" s="33">
        <v>6586.98</v>
      </c>
      <c r="D597" s="34" t="str">
        <f>HYPERLINK("https://osu.ppy.sh/u/12074914","RFTE693")</f>
        <v>RFTE693</v>
      </c>
      <c r="E597" s="52" t="s">
        <v>28</v>
      </c>
      <c r="F597" s="48" t="s">
        <v>2159</v>
      </c>
      <c r="G597" s="37" t="s">
        <v>29</v>
      </c>
      <c r="H597" s="48" t="s">
        <v>2160</v>
      </c>
      <c r="I597" s="48" t="s">
        <v>31</v>
      </c>
      <c r="J597" s="38" t="s">
        <v>32</v>
      </c>
      <c r="K597" s="39">
        <v>1000.0</v>
      </c>
      <c r="L597" s="1" t="s">
        <v>114</v>
      </c>
      <c r="M597" s="55" t="s">
        <v>954</v>
      </c>
      <c r="N597" s="55" t="s">
        <v>61</v>
      </c>
      <c r="O597" s="55" t="s">
        <v>701</v>
      </c>
      <c r="P597" s="42">
        <v>69.0</v>
      </c>
      <c r="Q597" s="43">
        <v>127.0</v>
      </c>
      <c r="R597" s="43">
        <v>58.0</v>
      </c>
      <c r="S597" s="43">
        <v>38.0</v>
      </c>
      <c r="T597" s="52" t="s">
        <v>153</v>
      </c>
      <c r="U597" s="55" t="s">
        <v>281</v>
      </c>
      <c r="V597" s="55" t="s">
        <v>74</v>
      </c>
      <c r="Z597" s="45">
        <v>44136.0</v>
      </c>
      <c r="AA597" s="57"/>
    </row>
    <row r="598">
      <c r="A598" s="81" t="s">
        <v>2161</v>
      </c>
      <c r="B598" s="1" t="s">
        <v>2162</v>
      </c>
      <c r="C598" s="33">
        <v>6512.53</v>
      </c>
      <c r="D598" s="34" t="str">
        <f>HYPERLINK("https://osu.ppy.sh/u/346328","Playing")</f>
        <v>Playing</v>
      </c>
      <c r="E598" s="61" t="s">
        <v>28</v>
      </c>
      <c r="F598" s="100"/>
      <c r="G598" s="101"/>
      <c r="H598" s="128"/>
      <c r="I598" s="64" t="s">
        <v>31</v>
      </c>
      <c r="J598" s="49"/>
      <c r="K598" s="82"/>
      <c r="L598" s="57"/>
      <c r="M598" s="57"/>
      <c r="N598" s="57"/>
      <c r="O598" s="69"/>
      <c r="P598" s="79"/>
      <c r="Q598" s="80"/>
      <c r="R598" s="80"/>
      <c r="S598" s="80"/>
      <c r="T598" s="57"/>
      <c r="U598" s="75" t="s">
        <v>2163</v>
      </c>
      <c r="V598" s="57"/>
      <c r="Z598" s="45">
        <v>42614.0</v>
      </c>
      <c r="AA598" s="57"/>
    </row>
    <row r="599">
      <c r="A599" s="81" t="s">
        <v>2164</v>
      </c>
      <c r="B599" s="1" t="s">
        <v>2165</v>
      </c>
      <c r="C599" s="33">
        <v>6481.85</v>
      </c>
      <c r="D599" s="34" t="str">
        <f>HYPERLINK("https://osu.ppy.sh/u/11203609","Seydi")</f>
        <v>Seydi</v>
      </c>
      <c r="E599" s="41" t="s">
        <v>28</v>
      </c>
      <c r="F599" s="48" t="s">
        <v>105</v>
      </c>
      <c r="G599" s="48" t="s">
        <v>29</v>
      </c>
      <c r="H599" s="48" t="s">
        <v>2166</v>
      </c>
      <c r="I599" s="37" t="s">
        <v>31</v>
      </c>
      <c r="J599" s="59" t="s">
        <v>32</v>
      </c>
      <c r="K599" s="53"/>
      <c r="L599" s="1" t="s">
        <v>1947</v>
      </c>
      <c r="M599" s="55" t="s">
        <v>396</v>
      </c>
      <c r="N599" s="56"/>
      <c r="O599" s="1" t="s">
        <v>52</v>
      </c>
      <c r="P599" s="85">
        <v>85.0</v>
      </c>
      <c r="Q599" s="86">
        <v>124.0</v>
      </c>
      <c r="R599" s="87">
        <v>58.0</v>
      </c>
      <c r="S599" s="87">
        <v>36.0</v>
      </c>
      <c r="T599" s="110"/>
      <c r="U599" s="56"/>
      <c r="V599" s="56"/>
      <c r="Z599" s="45">
        <v>43983.0</v>
      </c>
      <c r="AA599" s="57"/>
    </row>
    <row r="600">
      <c r="A600" s="81"/>
      <c r="B600" s="1"/>
      <c r="C600" s="33"/>
      <c r="D600" s="175"/>
      <c r="E600" s="41"/>
      <c r="F600" s="48"/>
      <c r="G600" s="48"/>
      <c r="H600" s="48"/>
      <c r="I600" s="37"/>
      <c r="J600" s="59"/>
      <c r="K600" s="53"/>
      <c r="L600" s="1"/>
      <c r="M600" s="55"/>
      <c r="N600" s="56"/>
      <c r="O600" s="1"/>
      <c r="P600" s="85"/>
      <c r="Q600" s="86"/>
      <c r="R600" s="87"/>
      <c r="S600" s="87"/>
      <c r="T600" s="110"/>
      <c r="U600" s="56"/>
      <c r="V600" s="56"/>
      <c r="Z600" s="45"/>
      <c r="AA600" s="57"/>
    </row>
    <row r="601">
      <c r="A601" s="81"/>
    </row>
    <row r="602">
      <c r="A602" s="176" t="s">
        <v>2167</v>
      </c>
    </row>
    <row r="603">
      <c r="A603" s="177"/>
      <c r="Z603" s="45">
        <v>42795.0</v>
      </c>
    </row>
    <row r="604">
      <c r="A604" s="178"/>
      <c r="B604" s="40" t="s">
        <v>2168</v>
      </c>
      <c r="C604" s="46">
        <v>8611.02</v>
      </c>
      <c r="D604" s="105" t="str">
        <f>HYPERLINK("https://osu.ppy.sh/u/23326","GladiOol")</f>
        <v>GladiOol</v>
      </c>
      <c r="E604" s="41" t="s">
        <v>2169</v>
      </c>
      <c r="F604" s="63">
        <v>450.0</v>
      </c>
      <c r="G604" s="64" t="s">
        <v>29</v>
      </c>
      <c r="H604" s="65" t="s">
        <v>67</v>
      </c>
      <c r="I604" s="64" t="s">
        <v>404</v>
      </c>
      <c r="J604" s="67" t="s">
        <v>32</v>
      </c>
      <c r="K604" s="90"/>
      <c r="L604" s="52" t="s">
        <v>673</v>
      </c>
      <c r="M604" s="41" t="s">
        <v>485</v>
      </c>
      <c r="N604" s="75" t="s">
        <v>1794</v>
      </c>
      <c r="O604" s="75" t="s">
        <v>1423</v>
      </c>
      <c r="P604" s="72">
        <v>130.0</v>
      </c>
      <c r="Q604" s="73">
        <v>133.0</v>
      </c>
      <c r="R604" s="73">
        <v>70.0</v>
      </c>
      <c r="S604" s="73">
        <v>46.0</v>
      </c>
      <c r="T604" s="61" t="s">
        <v>218</v>
      </c>
      <c r="U604" s="41" t="s">
        <v>117</v>
      </c>
      <c r="V604" s="41" t="s">
        <v>74</v>
      </c>
    </row>
    <row r="605">
      <c r="A605" s="178"/>
      <c r="B605" s="40" t="s">
        <v>2170</v>
      </c>
      <c r="C605" s="46">
        <v>6686.24</v>
      </c>
      <c r="D605" s="83" t="str">
        <f>HYPERLINK("https://osu.ppy.sh/u/214187","ExGon")</f>
        <v>ExGon</v>
      </c>
      <c r="E605" s="41" t="s">
        <v>2171</v>
      </c>
      <c r="F605" s="179">
        <v>800.0</v>
      </c>
      <c r="G605" s="37" t="s">
        <v>128</v>
      </c>
      <c r="H605" s="37" t="s">
        <v>2172</v>
      </c>
      <c r="I605" s="48" t="s">
        <v>2173</v>
      </c>
      <c r="J605" s="38" t="s">
        <v>192</v>
      </c>
      <c r="K605" s="180">
        <v>500.0</v>
      </c>
      <c r="L605" s="40" t="s">
        <v>417</v>
      </c>
      <c r="M605" s="1" t="s">
        <v>2174</v>
      </c>
      <c r="N605" s="69"/>
      <c r="O605" s="181" t="s">
        <v>2175</v>
      </c>
      <c r="P605" s="182">
        <v>100.0</v>
      </c>
      <c r="Q605" s="183">
        <v>117.0</v>
      </c>
      <c r="R605" s="183">
        <v>73.0</v>
      </c>
      <c r="S605" s="183">
        <v>38.0</v>
      </c>
      <c r="T605" s="184"/>
      <c r="U605" s="40" t="s">
        <v>2176</v>
      </c>
      <c r="V605" s="40" t="s">
        <v>2177</v>
      </c>
      <c r="Z605" s="45">
        <v>42736.0</v>
      </c>
    </row>
    <row r="606">
      <c r="A606" s="178"/>
      <c r="B606" s="40" t="s">
        <v>2178</v>
      </c>
      <c r="C606" s="46">
        <v>5371.5</v>
      </c>
      <c r="D606" s="62" t="str">
        <f>HYPERLINK("https://osu.ppy.sh/u/2352419","El Koko")</f>
        <v>El Koko</v>
      </c>
      <c r="E606" s="35" t="s">
        <v>571</v>
      </c>
      <c r="F606" s="145"/>
      <c r="G606" s="101"/>
      <c r="H606" s="101"/>
      <c r="I606" s="101"/>
      <c r="J606" s="49"/>
      <c r="K606" s="115"/>
      <c r="L606" s="69"/>
      <c r="M606" s="69"/>
      <c r="N606" s="69"/>
      <c r="O606" s="184"/>
      <c r="P606" s="185"/>
      <c r="Q606" s="186"/>
      <c r="R606" s="186"/>
      <c r="S606" s="186"/>
      <c r="T606" s="184"/>
      <c r="U606" s="69"/>
      <c r="V606" s="69"/>
    </row>
    <row r="607">
      <c r="A607" s="178"/>
      <c r="B607" s="40" t="s">
        <v>2179</v>
      </c>
      <c r="C607" s="46">
        <v>5264.99</v>
      </c>
      <c r="D607" s="62" t="str">
        <f>HYPERLINK("https://osu.ppy.sh/u/4022836","_Airii_")</f>
        <v>_Airii_</v>
      </c>
      <c r="E607" s="35" t="s">
        <v>372</v>
      </c>
      <c r="F607" s="63">
        <v>1800.0</v>
      </c>
      <c r="G607" s="66" t="s">
        <v>29</v>
      </c>
      <c r="H607" s="66" t="s">
        <v>620</v>
      </c>
      <c r="I607" s="66" t="s">
        <v>299</v>
      </c>
      <c r="J607" s="49"/>
      <c r="K607" s="115"/>
      <c r="L607" s="61" t="s">
        <v>2180</v>
      </c>
      <c r="M607" s="35" t="s">
        <v>902</v>
      </c>
      <c r="N607" s="35" t="s">
        <v>174</v>
      </c>
      <c r="O607" s="35" t="s">
        <v>314</v>
      </c>
      <c r="P607" s="185"/>
      <c r="Q607" s="186"/>
      <c r="R607" s="186"/>
      <c r="S607" s="186"/>
      <c r="T607" s="184"/>
      <c r="U607" s="35" t="s">
        <v>668</v>
      </c>
      <c r="V607" s="35" t="s">
        <v>44</v>
      </c>
    </row>
    <row r="608">
      <c r="A608" s="178"/>
      <c r="B608" s="40" t="s">
        <v>2181</v>
      </c>
      <c r="C608" s="76">
        <v>5293.73</v>
      </c>
      <c r="D608" s="62" t="str">
        <f>HYPERLINK("https://osu.ppy.sh/u/2243053","Luerxa")</f>
        <v>Luerxa</v>
      </c>
      <c r="E608" s="187" t="s">
        <v>571</v>
      </c>
      <c r="F608" s="168">
        <v>600.0</v>
      </c>
      <c r="G608" s="188" t="s">
        <v>29</v>
      </c>
      <c r="H608" s="188" t="s">
        <v>67</v>
      </c>
      <c r="I608" s="188" t="s">
        <v>31</v>
      </c>
      <c r="J608" s="189" t="s">
        <v>192</v>
      </c>
      <c r="K608" s="190">
        <v>1000.0</v>
      </c>
      <c r="L608" s="191" t="s">
        <v>263</v>
      </c>
      <c r="M608" s="187" t="s">
        <v>100</v>
      </c>
      <c r="N608" s="187" t="s">
        <v>2182</v>
      </c>
      <c r="O608" s="35" t="s">
        <v>101</v>
      </c>
      <c r="P608" s="72">
        <v>105.0</v>
      </c>
      <c r="Q608" s="73">
        <v>127.0</v>
      </c>
      <c r="R608" s="73">
        <v>70.0</v>
      </c>
      <c r="S608" s="73">
        <v>44.0</v>
      </c>
      <c r="T608" s="61" t="s">
        <v>42</v>
      </c>
      <c r="U608" s="69"/>
      <c r="V608" s="184"/>
      <c r="Z608" s="45">
        <v>42795.0</v>
      </c>
    </row>
    <row r="609">
      <c r="A609" s="178"/>
      <c r="B609" s="40" t="s">
        <v>2183</v>
      </c>
      <c r="C609" s="46">
        <v>4724.38</v>
      </c>
      <c r="D609" s="62" t="str">
        <f>HYPERLINK("https://osu.ppy.sh/u/521116","CuNha")</f>
        <v>CuNha</v>
      </c>
      <c r="E609" s="187" t="s">
        <v>571</v>
      </c>
      <c r="F609" s="192"/>
      <c r="G609" s="193"/>
      <c r="H609" s="193"/>
      <c r="I609" s="193"/>
      <c r="J609" s="194"/>
      <c r="K609" s="195"/>
      <c r="L609" s="184"/>
      <c r="M609" s="184"/>
      <c r="N609" s="184"/>
      <c r="O609" s="184"/>
      <c r="P609" s="185"/>
      <c r="Q609" s="186"/>
      <c r="R609" s="186"/>
      <c r="S609" s="186"/>
      <c r="T609" s="196"/>
      <c r="U609" s="196"/>
      <c r="V609" s="196"/>
    </row>
    <row r="610">
      <c r="A610" s="178"/>
      <c r="B610" s="40" t="s">
        <v>2184</v>
      </c>
      <c r="C610" s="46">
        <v>3679.86</v>
      </c>
      <c r="D610" s="83" t="str">
        <f>HYPERLINK("https://osu.ppy.sh/u/1553071","BeMoNcHiK")</f>
        <v>BeMoNcHiK</v>
      </c>
      <c r="E610" s="118" t="s">
        <v>28</v>
      </c>
      <c r="F610" s="58">
        <v>2500.0</v>
      </c>
      <c r="G610" s="197" t="s">
        <v>29</v>
      </c>
      <c r="H610" s="197" t="s">
        <v>2185</v>
      </c>
      <c r="I610" s="198" t="s">
        <v>31</v>
      </c>
      <c r="J610" s="199" t="s">
        <v>32</v>
      </c>
      <c r="K610" s="195"/>
      <c r="L610" s="181" t="s">
        <v>2186</v>
      </c>
      <c r="M610" s="118" t="s">
        <v>2187</v>
      </c>
      <c r="N610" s="181" t="s">
        <v>2188</v>
      </c>
      <c r="O610" s="35"/>
      <c r="P610" s="185"/>
      <c r="Q610" s="186"/>
      <c r="R610" s="186"/>
      <c r="S610" s="186"/>
      <c r="T610" s="184"/>
      <c r="U610" s="200" t="str">
        <f>HYPERLINK("https://puu.sh/uOYtw/47947e92c8.jpg","""BeMoNcHiK Controller v1.1""")</f>
        <v>"BeMoNcHiK Controller v1.1"</v>
      </c>
      <c r="V610" s="181" t="s">
        <v>899</v>
      </c>
    </row>
    <row r="611">
      <c r="A611" s="178"/>
      <c r="B611" s="155" t="s">
        <v>423</v>
      </c>
      <c r="C611" s="103"/>
      <c r="D611" s="104" t="str">
        <f>HYPERLINK("https://osu.ppy.sh/u/18589","Cyclone")</f>
        <v>Cyclone</v>
      </c>
      <c r="E611" s="187" t="s">
        <v>28</v>
      </c>
      <c r="F611" s="168">
        <v>5700.0</v>
      </c>
      <c r="G611" s="197" t="s">
        <v>29</v>
      </c>
      <c r="H611" s="197" t="s">
        <v>1234</v>
      </c>
      <c r="I611" s="198" t="s">
        <v>31</v>
      </c>
      <c r="J611" s="199" t="s">
        <v>32</v>
      </c>
      <c r="K611" s="201">
        <v>1000.0</v>
      </c>
      <c r="L611" s="181" t="s">
        <v>2189</v>
      </c>
      <c r="M611" s="187" t="s">
        <v>2190</v>
      </c>
      <c r="N611" s="181" t="s">
        <v>174</v>
      </c>
      <c r="O611" s="35" t="s">
        <v>2191</v>
      </c>
      <c r="P611" s="182">
        <v>156.0</v>
      </c>
      <c r="Q611" s="183">
        <v>110.0</v>
      </c>
      <c r="R611" s="183">
        <v>80.0</v>
      </c>
      <c r="S611" s="183">
        <v>39.0</v>
      </c>
      <c r="T611" s="61" t="s">
        <v>42</v>
      </c>
      <c r="U611" s="181" t="s">
        <v>2192</v>
      </c>
      <c r="V611" s="181" t="s">
        <v>74</v>
      </c>
      <c r="Z611" s="45">
        <v>43009.0</v>
      </c>
    </row>
    <row r="612">
      <c r="A612" s="178"/>
      <c r="B612" s="155" t="s">
        <v>423</v>
      </c>
      <c r="C612" s="156"/>
      <c r="D612" s="104" t="str">
        <f>HYPERLINK("https://osu.ppy.sh/u/176037","LemonWater")</f>
        <v>LemonWater</v>
      </c>
      <c r="E612" s="187" t="s">
        <v>571</v>
      </c>
      <c r="F612" s="168">
        <v>400.0</v>
      </c>
      <c r="G612" s="193"/>
      <c r="H612" s="193"/>
      <c r="I612" s="193"/>
      <c r="J612" s="189" t="s">
        <v>192</v>
      </c>
      <c r="K612" s="195"/>
      <c r="L612" s="184"/>
      <c r="M612" s="187" t="s">
        <v>1905</v>
      </c>
      <c r="N612" s="184"/>
      <c r="O612" s="35" t="s">
        <v>1423</v>
      </c>
      <c r="P612" s="72">
        <v>103.0</v>
      </c>
      <c r="Q612" s="73">
        <v>132.0</v>
      </c>
      <c r="R612" s="73">
        <v>69.0</v>
      </c>
      <c r="S612" s="73">
        <v>44.0</v>
      </c>
      <c r="T612" s="61" t="s">
        <v>1906</v>
      </c>
      <c r="U612" s="184"/>
      <c r="V612" s="184"/>
    </row>
    <row r="613">
      <c r="A613" s="178"/>
      <c r="B613" s="40" t="s">
        <v>2193</v>
      </c>
      <c r="C613" s="46">
        <v>3481.53</v>
      </c>
      <c r="D613" s="62" t="str">
        <f>HYPERLINK("https://osu.ppy.sh/u/276462","lncognito")</f>
        <v>lncognito</v>
      </c>
      <c r="E613" s="187" t="s">
        <v>28</v>
      </c>
      <c r="F613" s="202" t="s">
        <v>2194</v>
      </c>
      <c r="G613" s="188" t="s">
        <v>29</v>
      </c>
      <c r="H613" s="188" t="s">
        <v>2195</v>
      </c>
      <c r="I613" s="188" t="s">
        <v>421</v>
      </c>
      <c r="J613" s="189" t="s">
        <v>32</v>
      </c>
      <c r="K613" s="195"/>
      <c r="L613" s="191" t="s">
        <v>2196</v>
      </c>
      <c r="M613" s="187" t="s">
        <v>2197</v>
      </c>
      <c r="N613" s="187" t="s">
        <v>430</v>
      </c>
      <c r="O613" s="184"/>
      <c r="P613" s="185"/>
      <c r="Q613" s="186"/>
      <c r="R613" s="186"/>
      <c r="S613" s="186"/>
      <c r="T613" s="184"/>
      <c r="U613" s="184"/>
      <c r="V613" s="187" t="s">
        <v>63</v>
      </c>
    </row>
    <row r="614">
      <c r="A614" s="178"/>
      <c r="B614" s="40" t="s">
        <v>2198</v>
      </c>
      <c r="C614" s="76">
        <v>4416.89</v>
      </c>
      <c r="D614" s="62" t="str">
        <f>HYPERLINK("https://osu.ppy.sh/u/64501","Lybydose")</f>
        <v>Lybydose</v>
      </c>
      <c r="E614" s="187" t="s">
        <v>320</v>
      </c>
      <c r="F614" s="168">
        <v>3500.0</v>
      </c>
      <c r="G614" s="188" t="s">
        <v>29</v>
      </c>
      <c r="H614" s="188" t="s">
        <v>67</v>
      </c>
      <c r="I614" s="188" t="s">
        <v>421</v>
      </c>
      <c r="J614" s="189" t="s">
        <v>192</v>
      </c>
      <c r="K614" s="195"/>
      <c r="L614" s="191" t="s">
        <v>2199</v>
      </c>
      <c r="M614" s="187" t="s">
        <v>2200</v>
      </c>
      <c r="N614" s="187" t="s">
        <v>2201</v>
      </c>
      <c r="O614" s="35" t="s">
        <v>314</v>
      </c>
      <c r="P614" s="42" t="s">
        <v>801</v>
      </c>
      <c r="Q614" s="43" t="s">
        <v>367</v>
      </c>
      <c r="R614" s="43" t="s">
        <v>347</v>
      </c>
      <c r="S614" s="43" t="s">
        <v>368</v>
      </c>
      <c r="T614" s="44" t="s">
        <v>42</v>
      </c>
      <c r="U614" s="184"/>
      <c r="V614" s="184"/>
    </row>
    <row r="615">
      <c r="A615" s="178"/>
      <c r="B615" s="40" t="s">
        <v>2202</v>
      </c>
      <c r="C615" s="76">
        <v>5081.1</v>
      </c>
      <c r="D615" s="62" t="str">
        <f>HYPERLINK("https://osu.ppy.sh/u/75595","MeRcYyy")</f>
        <v>MeRcYyy</v>
      </c>
      <c r="E615" s="187" t="s">
        <v>571</v>
      </c>
      <c r="F615" s="192"/>
      <c r="G615" s="193"/>
      <c r="H615" s="193"/>
      <c r="I615" s="193"/>
      <c r="J615" s="194"/>
      <c r="K615" s="195"/>
      <c r="L615" s="184"/>
      <c r="M615" s="187" t="s">
        <v>1905</v>
      </c>
      <c r="N615" s="187" t="s">
        <v>61</v>
      </c>
      <c r="O615" s="181"/>
      <c r="P615" s="185"/>
      <c r="Q615" s="186"/>
      <c r="R615" s="186"/>
      <c r="S615" s="186"/>
      <c r="T615" s="184"/>
      <c r="U615" s="184"/>
      <c r="V615" s="184"/>
      <c r="Z615" s="45">
        <v>42430.0</v>
      </c>
    </row>
    <row r="616">
      <c r="A616" s="178"/>
      <c r="B616" s="40" t="s">
        <v>2203</v>
      </c>
      <c r="C616" s="76">
        <v>5123.01</v>
      </c>
      <c r="D616" s="62" t="str">
        <f>HYPERLINK("https://osu.ppy.sh/u/290496","Napoleona")</f>
        <v>Napoleona</v>
      </c>
      <c r="E616" s="187" t="s">
        <v>571</v>
      </c>
      <c r="F616" s="192"/>
      <c r="G616" s="193"/>
      <c r="H616" s="193"/>
      <c r="I616" s="193"/>
      <c r="J616" s="194"/>
      <c r="K616" s="195"/>
      <c r="L616" s="184"/>
      <c r="M616" s="184"/>
      <c r="N616" s="184"/>
      <c r="O616" s="184"/>
      <c r="P616" s="185"/>
      <c r="Q616" s="186"/>
      <c r="R616" s="186"/>
      <c r="S616" s="186"/>
      <c r="T616" s="184"/>
      <c r="U616" s="184"/>
      <c r="V616" s="184"/>
    </row>
    <row r="617">
      <c r="A617" s="178"/>
      <c r="B617" s="40" t="s">
        <v>2204</v>
      </c>
      <c r="C617" s="46">
        <v>4841.68</v>
      </c>
      <c r="D617" s="105" t="str">
        <f>HYPERLINK("https://osu.ppy.sh/u/2959205","Pinkie Pi")</f>
        <v>Pinkie Pi</v>
      </c>
      <c r="E617" s="173" t="s">
        <v>28</v>
      </c>
      <c r="F617" s="168">
        <v>800.0</v>
      </c>
      <c r="G617" s="169" t="s">
        <v>78</v>
      </c>
      <c r="H617" s="169" t="s">
        <v>1515</v>
      </c>
      <c r="I617" s="169" t="s">
        <v>579</v>
      </c>
      <c r="J617" s="170" t="s">
        <v>32</v>
      </c>
      <c r="K617" s="171">
        <v>125.0</v>
      </c>
      <c r="L617" s="172" t="s">
        <v>272</v>
      </c>
      <c r="M617" s="118" t="s">
        <v>2205</v>
      </c>
      <c r="N617" s="118" t="s">
        <v>430</v>
      </c>
      <c r="O617" s="40"/>
      <c r="P617" s="79"/>
      <c r="Q617" s="147"/>
      <c r="R617" s="147"/>
      <c r="S617" s="147"/>
      <c r="T617" s="57"/>
      <c r="U617" s="173" t="s">
        <v>2206</v>
      </c>
      <c r="V617" s="173" t="s">
        <v>63</v>
      </c>
    </row>
    <row r="618">
      <c r="A618" s="178"/>
      <c r="B618" s="40" t="s">
        <v>2207</v>
      </c>
      <c r="C618" s="46">
        <v>3696.51</v>
      </c>
      <c r="D618" s="62" t="str">
        <f>HYPERLINK("https://osu.ppy.sh/u/329839","Riclon")</f>
        <v>Riclon</v>
      </c>
      <c r="E618" s="187" t="s">
        <v>28</v>
      </c>
      <c r="F618" s="168">
        <v>1000.0</v>
      </c>
      <c r="G618" s="169" t="s">
        <v>78</v>
      </c>
      <c r="H618" s="169" t="s">
        <v>67</v>
      </c>
      <c r="I618" s="203"/>
      <c r="J618" s="170" t="s">
        <v>192</v>
      </c>
      <c r="K618" s="195"/>
      <c r="L618" s="196"/>
      <c r="M618" s="173" t="s">
        <v>1768</v>
      </c>
      <c r="N618" s="196"/>
      <c r="O618" s="75" t="s">
        <v>408</v>
      </c>
      <c r="P618" s="185"/>
      <c r="Q618" s="186"/>
      <c r="R618" s="186"/>
      <c r="S618" s="186"/>
      <c r="T618" s="196"/>
      <c r="U618" s="173" t="s">
        <v>609</v>
      </c>
      <c r="V618" s="173" t="s">
        <v>94</v>
      </c>
    </row>
    <row r="619">
      <c r="A619" s="178"/>
      <c r="B619" s="155" t="s">
        <v>423</v>
      </c>
      <c r="C619" s="156"/>
      <c r="D619" s="104" t="str">
        <f>HYPERLINK("https://osu.ppy.sh/u/3781","Saturos")</f>
        <v>Saturos</v>
      </c>
      <c r="E619" s="187" t="s">
        <v>571</v>
      </c>
      <c r="F619" s="168">
        <v>800.0</v>
      </c>
      <c r="G619" s="188" t="s">
        <v>29</v>
      </c>
      <c r="H619" s="188" t="s">
        <v>67</v>
      </c>
      <c r="I619" s="188" t="s">
        <v>229</v>
      </c>
      <c r="J619" s="189" t="s">
        <v>192</v>
      </c>
      <c r="K619" s="171">
        <v>125.0</v>
      </c>
      <c r="L619" s="191" t="s">
        <v>114</v>
      </c>
      <c r="M619" s="173" t="s">
        <v>2208</v>
      </c>
      <c r="N619" s="196"/>
      <c r="O619" s="35" t="s">
        <v>809</v>
      </c>
      <c r="P619" s="185"/>
      <c r="Q619" s="186"/>
      <c r="R619" s="186"/>
      <c r="S619" s="186"/>
      <c r="T619" s="184"/>
      <c r="U619" s="184"/>
      <c r="V619" s="184"/>
    </row>
    <row r="620">
      <c r="A620" s="178"/>
      <c r="B620" s="40" t="s">
        <v>2209</v>
      </c>
      <c r="C620" s="76">
        <v>7563.6</v>
      </c>
      <c r="D620" s="83" t="str">
        <f>HYPERLINK("https://osu.ppy.sh/u/9206498","Shaper")</f>
        <v>Shaper</v>
      </c>
      <c r="E620" s="118" t="s">
        <v>28</v>
      </c>
      <c r="F620" s="204" t="s">
        <v>171</v>
      </c>
      <c r="G620" s="198" t="s">
        <v>29</v>
      </c>
      <c r="H620" s="198" t="s">
        <v>67</v>
      </c>
      <c r="I620" s="198" t="s">
        <v>106</v>
      </c>
      <c r="J620" s="205" t="s">
        <v>32</v>
      </c>
      <c r="K620" s="206" t="s">
        <v>33</v>
      </c>
      <c r="L620" s="181" t="s">
        <v>807</v>
      </c>
      <c r="M620" s="181" t="s">
        <v>108</v>
      </c>
      <c r="N620" s="181" t="s">
        <v>2210</v>
      </c>
      <c r="O620" s="1" t="s">
        <v>109</v>
      </c>
      <c r="P620" s="85" t="s">
        <v>110</v>
      </c>
      <c r="Q620" s="86" t="s">
        <v>39</v>
      </c>
      <c r="R620" s="87" t="s">
        <v>72</v>
      </c>
      <c r="S620" s="87" t="s">
        <v>41</v>
      </c>
      <c r="T620" s="48" t="s">
        <v>42</v>
      </c>
      <c r="U620" s="181" t="s">
        <v>2211</v>
      </c>
      <c r="V620" s="181" t="s">
        <v>44</v>
      </c>
      <c r="Z620" s="45">
        <v>43525.0</v>
      </c>
    </row>
    <row r="621">
      <c r="A621" s="178"/>
      <c r="B621" s="155" t="s">
        <v>423</v>
      </c>
      <c r="C621" s="156"/>
      <c r="D621" s="104" t="str">
        <f>HYPERLINK("https://osu.ppy.sh/u/2209518","ShokugonoOyatsu")</f>
        <v>ShokugonoOyatsu</v>
      </c>
      <c r="E621" s="187" t="s">
        <v>571</v>
      </c>
      <c r="F621" s="192"/>
      <c r="G621" s="193"/>
      <c r="H621" s="193"/>
      <c r="I621" s="193"/>
      <c r="J621" s="194"/>
      <c r="K621" s="195"/>
      <c r="L621" s="184"/>
      <c r="M621" s="196"/>
      <c r="N621" s="196"/>
      <c r="O621" s="184"/>
      <c r="P621" s="185"/>
      <c r="Q621" s="207"/>
      <c r="R621" s="207"/>
      <c r="S621" s="207"/>
      <c r="T621" s="184"/>
      <c r="U621" s="184"/>
      <c r="V621" s="184"/>
    </row>
    <row r="622">
      <c r="A622" s="139"/>
      <c r="B622" s="40" t="s">
        <v>2212</v>
      </c>
      <c r="C622" s="76">
        <v>6010.82</v>
      </c>
      <c r="D622" s="62" t="str">
        <f>HYPERLINK("https://osu.ppy.sh/u/4781004","Sleepteiner")</f>
        <v>Sleepteiner</v>
      </c>
      <c r="E622" s="35" t="s">
        <v>571</v>
      </c>
      <c r="F622" s="145"/>
      <c r="G622" s="101"/>
      <c r="H622" s="101"/>
      <c r="I622" s="101"/>
      <c r="J622" s="49"/>
      <c r="K622" s="115"/>
      <c r="L622" s="69"/>
      <c r="M622" s="69"/>
      <c r="N622" s="69"/>
      <c r="O622" s="69"/>
      <c r="P622" s="79"/>
      <c r="Q622" s="147"/>
      <c r="R622" s="147"/>
      <c r="S622" s="147"/>
      <c r="T622" s="57"/>
      <c r="U622" s="57"/>
      <c r="V622" s="57"/>
    </row>
    <row r="623">
      <c r="A623" s="139"/>
      <c r="B623" s="40" t="s">
        <v>2213</v>
      </c>
      <c r="C623" s="76">
        <v>4208.74</v>
      </c>
      <c r="D623" s="62" t="str">
        <f>HYPERLINK("https://osu.ppy.sh/u/61101","taNa")</f>
        <v>taNa</v>
      </c>
      <c r="E623" s="187" t="s">
        <v>571</v>
      </c>
      <c r="F623" s="168">
        <v>400.0</v>
      </c>
      <c r="G623" s="188" t="s">
        <v>29</v>
      </c>
      <c r="H623" s="193"/>
      <c r="I623" s="193"/>
      <c r="J623" s="189" t="s">
        <v>192</v>
      </c>
      <c r="K623" s="195"/>
      <c r="L623" s="184"/>
      <c r="M623" s="187" t="s">
        <v>1422</v>
      </c>
      <c r="N623" s="187" t="s">
        <v>991</v>
      </c>
      <c r="O623" s="35" t="s">
        <v>1423</v>
      </c>
      <c r="P623" s="72">
        <v>125.0</v>
      </c>
      <c r="Q623" s="73">
        <v>124.0</v>
      </c>
      <c r="R623" s="73">
        <v>67.0</v>
      </c>
      <c r="S623" s="73">
        <v>40.0</v>
      </c>
      <c r="T623" s="44" t="s">
        <v>2214</v>
      </c>
      <c r="U623" s="196"/>
      <c r="V623" s="196"/>
    </row>
    <row r="624">
      <c r="A624" s="81"/>
      <c r="B624" s="1" t="s">
        <v>2215</v>
      </c>
      <c r="C624" s="33">
        <v>4771.0</v>
      </c>
      <c r="D624" s="34" t="str">
        <f>HYPERLINK("https://osu.ppy.sh/u/2222629","uberpancake")</f>
        <v>uberpancake</v>
      </c>
      <c r="E624" s="55" t="s">
        <v>571</v>
      </c>
      <c r="F624" s="58" t="s">
        <v>2216</v>
      </c>
      <c r="G624" s="48" t="s">
        <v>29</v>
      </c>
      <c r="H624" s="48" t="s">
        <v>67</v>
      </c>
      <c r="I624" s="48" t="s">
        <v>31</v>
      </c>
      <c r="J624" s="54"/>
      <c r="K624" s="60"/>
      <c r="L624" s="48" t="s">
        <v>2217</v>
      </c>
      <c r="M624" s="208" t="s">
        <v>2218</v>
      </c>
      <c r="P624" s="91"/>
      <c r="Q624" s="92"/>
      <c r="R624" s="93"/>
      <c r="S624" s="93"/>
      <c r="T624" s="53"/>
      <c r="U624" s="208"/>
    </row>
    <row r="625" ht="15.0" customHeight="1">
      <c r="A625" s="81"/>
      <c r="B625" s="1" t="s">
        <v>2219</v>
      </c>
      <c r="C625" s="33">
        <v>7778.39</v>
      </c>
      <c r="D625" s="34" t="str">
        <f>HYPERLINK("https://osu.ppy.sh/u/296448","nvpy")</f>
        <v>nvpy</v>
      </c>
      <c r="E625" s="55" t="s">
        <v>2169</v>
      </c>
      <c r="F625" s="109"/>
      <c r="G625" s="53"/>
      <c r="H625" s="53"/>
      <c r="I625" s="48" t="s">
        <v>2220</v>
      </c>
      <c r="J625" s="54"/>
      <c r="K625" s="60"/>
      <c r="L625" s="53"/>
      <c r="M625" s="208" t="s">
        <v>1905</v>
      </c>
      <c r="P625" s="91"/>
      <c r="Q625" s="92"/>
      <c r="R625" s="93"/>
      <c r="S625" s="93"/>
      <c r="T625" s="53"/>
      <c r="U625" s="208" t="s">
        <v>605</v>
      </c>
      <c r="AD625" s="57"/>
      <c r="AE625" s="57"/>
      <c r="AF625" s="57"/>
      <c r="AG625" s="57"/>
      <c r="AH625" s="57"/>
    </row>
    <row r="626" ht="15.0" customHeight="1">
      <c r="A626" s="139"/>
      <c r="B626" s="40" t="s">
        <v>2221</v>
      </c>
      <c r="C626" s="76">
        <v>5035.13</v>
      </c>
      <c r="D626" s="62" t="str">
        <f>HYPERLINK("https://osu.ppy.sh/u/2264338","Zalaria")</f>
        <v>Zalaria</v>
      </c>
      <c r="E626" s="35" t="s">
        <v>28</v>
      </c>
      <c r="F626" s="63">
        <v>1250.0</v>
      </c>
      <c r="G626" s="66" t="s">
        <v>29</v>
      </c>
      <c r="H626" s="66" t="s">
        <v>620</v>
      </c>
      <c r="I626" s="66" t="s">
        <v>98</v>
      </c>
      <c r="J626" s="49"/>
      <c r="K626" s="115"/>
      <c r="L626" s="69"/>
      <c r="M626" s="41" t="s">
        <v>185</v>
      </c>
      <c r="N626" s="35" t="s">
        <v>1935</v>
      </c>
      <c r="O626" s="40" t="s">
        <v>141</v>
      </c>
      <c r="P626" s="42" t="s">
        <v>187</v>
      </c>
      <c r="Q626" s="43" t="s">
        <v>39</v>
      </c>
      <c r="R626" s="43" t="s">
        <v>72</v>
      </c>
      <c r="S626" s="43" t="s">
        <v>41</v>
      </c>
      <c r="T626" s="40" t="s">
        <v>42</v>
      </c>
      <c r="U626" s="40" t="s">
        <v>2222</v>
      </c>
      <c r="V626" s="40" t="s">
        <v>2223</v>
      </c>
      <c r="Z626" s="45">
        <v>43435.0</v>
      </c>
      <c r="AC626" s="57"/>
      <c r="AD626" s="57"/>
      <c r="AE626" s="57"/>
      <c r="AF626" s="57"/>
      <c r="AG626" s="57"/>
      <c r="AH626" s="57"/>
    </row>
    <row r="627" ht="15.0" customHeight="1">
      <c r="A627" s="177"/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AA627" s="57"/>
      <c r="AB627" s="57"/>
      <c r="AC627" s="57"/>
      <c r="AD627" s="57"/>
      <c r="AE627" s="57"/>
      <c r="AF627" s="57"/>
      <c r="AG627" s="57"/>
      <c r="AH627" s="57"/>
    </row>
    <row r="628" ht="15.0" customHeight="1">
      <c r="A628" s="81"/>
      <c r="B628" s="41" t="s">
        <v>76</v>
      </c>
      <c r="C628" s="46">
        <v>15218.8</v>
      </c>
      <c r="D628" s="62" t="str">
        <f>HYPERLINK("https://osu.ppy.sh/u/1777162","firebat92")</f>
        <v>firebat92</v>
      </c>
      <c r="E628" s="61" t="s">
        <v>28</v>
      </c>
      <c r="F628" s="63">
        <v>1000.0</v>
      </c>
      <c r="G628" s="66" t="s">
        <v>29</v>
      </c>
      <c r="H628" s="66" t="s">
        <v>2224</v>
      </c>
      <c r="I628" s="66" t="s">
        <v>293</v>
      </c>
      <c r="J628" s="70" t="s">
        <v>1493</v>
      </c>
      <c r="K628" s="82"/>
      <c r="L628" s="61" t="s">
        <v>2225</v>
      </c>
      <c r="M628" s="41" t="s">
        <v>356</v>
      </c>
      <c r="N628" s="35" t="s">
        <v>846</v>
      </c>
      <c r="O628" s="35" t="s">
        <v>278</v>
      </c>
      <c r="P628" s="72">
        <v>90.0</v>
      </c>
      <c r="Q628" s="73">
        <v>115.0</v>
      </c>
      <c r="R628" s="73">
        <v>63.0</v>
      </c>
      <c r="S628" s="73">
        <v>38.0</v>
      </c>
      <c r="T628" s="61" t="s">
        <v>42</v>
      </c>
      <c r="U628" s="41" t="s">
        <v>759</v>
      </c>
      <c r="V628" s="35" t="s">
        <v>74</v>
      </c>
      <c r="AA628" s="57"/>
      <c r="AB628" s="57"/>
      <c r="AC628" s="57"/>
      <c r="AD628" s="57"/>
      <c r="AE628" s="57"/>
      <c r="AF628" s="57"/>
      <c r="AG628" s="57"/>
      <c r="AH628" s="57"/>
    </row>
    <row r="629" ht="15.0" customHeight="1">
      <c r="A629" s="81"/>
      <c r="B629" s="41" t="s">
        <v>118</v>
      </c>
      <c r="C629" s="46">
        <v>16659.4</v>
      </c>
      <c r="D629" s="83" t="str">
        <f>HYPERLINK("https://osu.ppy.sh/u/9224078","FlyingTuna")</f>
        <v>FlyingTuna</v>
      </c>
      <c r="E629" s="40" t="s">
        <v>28</v>
      </c>
      <c r="F629" s="36">
        <v>800.0</v>
      </c>
      <c r="G629" s="37" t="s">
        <v>29</v>
      </c>
      <c r="H629" s="37" t="s">
        <v>67</v>
      </c>
      <c r="I629" s="37" t="s">
        <v>31</v>
      </c>
      <c r="J629" s="38" t="s">
        <v>32</v>
      </c>
      <c r="K629" s="39">
        <v>1000.0</v>
      </c>
      <c r="L629" s="61" t="s">
        <v>222</v>
      </c>
      <c r="M629" s="41" t="s">
        <v>199</v>
      </c>
      <c r="N629" s="40" t="s">
        <v>2226</v>
      </c>
      <c r="O629" s="41" t="s">
        <v>201</v>
      </c>
      <c r="P629" s="42" t="s">
        <v>2227</v>
      </c>
      <c r="Q629" s="43">
        <v>136.0</v>
      </c>
      <c r="R629" s="43">
        <v>72.0</v>
      </c>
      <c r="S629" s="43">
        <v>41.0</v>
      </c>
      <c r="T629" s="61" t="s">
        <v>42</v>
      </c>
      <c r="U629" s="40" t="s">
        <v>2228</v>
      </c>
      <c r="V629" s="40" t="s">
        <v>74</v>
      </c>
      <c r="Z629" s="45">
        <v>42917.0</v>
      </c>
      <c r="AA629" s="57"/>
      <c r="AB629" s="57"/>
      <c r="AC629" s="57"/>
      <c r="AD629" s="57"/>
      <c r="AE629" s="57"/>
      <c r="AF629" s="57"/>
      <c r="AG629" s="57"/>
      <c r="AH629" s="57"/>
    </row>
    <row r="630" ht="15.0" customHeight="1">
      <c r="A630" s="81"/>
      <c r="B630" s="41" t="s">
        <v>275</v>
      </c>
      <c r="C630" s="33">
        <v>15306.3</v>
      </c>
      <c r="D630" s="83" t="str">
        <f>HYPERLINK("https://osu.ppy.sh/u/2165650","mcy4")</f>
        <v>mcy4</v>
      </c>
      <c r="E630" s="52" t="s">
        <v>28</v>
      </c>
      <c r="F630" s="63">
        <v>1200.0</v>
      </c>
      <c r="G630" s="65" t="s">
        <v>29</v>
      </c>
      <c r="H630" s="65" t="s">
        <v>1365</v>
      </c>
      <c r="I630" s="65" t="s">
        <v>579</v>
      </c>
      <c r="J630" s="89" t="s">
        <v>32</v>
      </c>
      <c r="K630" s="90"/>
      <c r="L630" s="52" t="s">
        <v>915</v>
      </c>
      <c r="M630" s="41" t="s">
        <v>2229</v>
      </c>
      <c r="N630" s="106" t="s">
        <v>434</v>
      </c>
      <c r="O630" s="68" t="s">
        <v>2230</v>
      </c>
      <c r="P630" s="42">
        <v>145.0</v>
      </c>
      <c r="Q630" s="43">
        <v>124.0</v>
      </c>
      <c r="R630" s="43">
        <v>79.0</v>
      </c>
      <c r="S630" s="43">
        <v>42.0</v>
      </c>
      <c r="T630" s="61"/>
      <c r="U630" s="41" t="s">
        <v>2231</v>
      </c>
      <c r="V630" s="41" t="s">
        <v>74</v>
      </c>
      <c r="Z630" s="45">
        <v>42887.0</v>
      </c>
      <c r="AA630" s="57"/>
      <c r="AB630" s="57"/>
      <c r="AC630" s="57"/>
      <c r="AD630" s="57"/>
      <c r="AE630" s="57"/>
      <c r="AF630" s="57"/>
      <c r="AG630" s="57"/>
      <c r="AH630" s="57"/>
    </row>
    <row r="631" ht="15.0" customHeight="1">
      <c r="A631" s="81"/>
      <c r="B631" s="41" t="s">
        <v>804</v>
      </c>
      <c r="C631" s="33">
        <v>13062.7</v>
      </c>
      <c r="D631" s="47" t="str">
        <f>HYPERLINK("https://osu.ppy.sh/u/8671241","rip fc")</f>
        <v>rip fc</v>
      </c>
      <c r="E631" s="52" t="s">
        <v>28</v>
      </c>
      <c r="F631" s="36" t="s">
        <v>77</v>
      </c>
      <c r="G631" s="101"/>
      <c r="H631" s="37" t="s">
        <v>1831</v>
      </c>
      <c r="I631" s="65" t="s">
        <v>242</v>
      </c>
      <c r="J631" s="49"/>
      <c r="K631" s="82"/>
      <c r="L631" s="69"/>
      <c r="M631" s="40" t="s">
        <v>707</v>
      </c>
      <c r="N631" s="106" t="s">
        <v>434</v>
      </c>
      <c r="O631" s="40" t="s">
        <v>709</v>
      </c>
      <c r="P631" s="42" t="s">
        <v>110</v>
      </c>
      <c r="Q631" s="43" t="s">
        <v>85</v>
      </c>
      <c r="R631" s="43" t="s">
        <v>458</v>
      </c>
      <c r="S631" s="43" t="s">
        <v>323</v>
      </c>
      <c r="T631" s="52" t="s">
        <v>42</v>
      </c>
      <c r="U631" s="40" t="s">
        <v>2232</v>
      </c>
      <c r="V631" s="40" t="s">
        <v>74</v>
      </c>
      <c r="Z631" s="45"/>
      <c r="AA631" s="57"/>
      <c r="AB631" s="57"/>
      <c r="AC631" s="57"/>
      <c r="AD631" s="57"/>
      <c r="AE631" s="57"/>
      <c r="AF631" s="57"/>
      <c r="AG631" s="57"/>
      <c r="AH631" s="57"/>
    </row>
    <row r="632" ht="15.0" customHeight="1">
      <c r="A632" s="81"/>
      <c r="B632" s="41" t="s">
        <v>730</v>
      </c>
      <c r="C632" s="33">
        <v>13195.8</v>
      </c>
      <c r="D632" s="34" t="str">
        <f>HYPERLINK("https://osu.ppy.sh/u/3149577","Coreanmaluco")</f>
        <v>Coreanmaluco</v>
      </c>
      <c r="E632" s="52" t="s">
        <v>28</v>
      </c>
      <c r="F632" s="58" t="s">
        <v>77</v>
      </c>
      <c r="G632" s="48" t="s">
        <v>29</v>
      </c>
      <c r="H632" s="48" t="s">
        <v>2233</v>
      </c>
      <c r="I632" s="48" t="s">
        <v>31</v>
      </c>
      <c r="J632" s="59" t="s">
        <v>32</v>
      </c>
      <c r="K632" s="74" t="s">
        <v>1029</v>
      </c>
      <c r="L632" s="1" t="s">
        <v>107</v>
      </c>
      <c r="M632" s="1" t="s">
        <v>916</v>
      </c>
      <c r="N632" s="1" t="s">
        <v>2234</v>
      </c>
      <c r="P632" s="91"/>
      <c r="Q632" s="92"/>
      <c r="R632" s="92"/>
      <c r="S632" s="92"/>
      <c r="U632" s="1" t="s">
        <v>2235</v>
      </c>
      <c r="V632" s="1" t="s">
        <v>63</v>
      </c>
      <c r="Z632" s="45"/>
      <c r="AA632" s="57"/>
      <c r="AB632" s="57"/>
      <c r="AC632" s="57"/>
      <c r="AD632" s="57"/>
      <c r="AE632" s="57"/>
      <c r="AF632" s="57"/>
      <c r="AG632" s="57"/>
      <c r="AH632" s="57"/>
    </row>
    <row r="633" ht="15.0" customHeight="1">
      <c r="A633" s="81"/>
      <c r="B633" s="41" t="s">
        <v>710</v>
      </c>
      <c r="C633" s="46">
        <v>13278.0</v>
      </c>
      <c r="D633" s="62" t="str">
        <f>HYPERLINK("https://osu.ppy.sh/u/4734244","Informous")</f>
        <v>Informous</v>
      </c>
      <c r="E633" s="61" t="s">
        <v>28</v>
      </c>
      <c r="F633" s="63">
        <v>1800.0</v>
      </c>
      <c r="G633" s="66" t="s">
        <v>29</v>
      </c>
      <c r="H633" s="66" t="s">
        <v>67</v>
      </c>
      <c r="I633" s="66" t="s">
        <v>31</v>
      </c>
      <c r="J633" s="70" t="s">
        <v>192</v>
      </c>
      <c r="K633" s="71">
        <v>1000.0</v>
      </c>
      <c r="L633" s="61" t="s">
        <v>1371</v>
      </c>
      <c r="M633" s="41" t="s">
        <v>2236</v>
      </c>
      <c r="N633" s="35" t="s">
        <v>608</v>
      </c>
      <c r="O633" s="35" t="s">
        <v>314</v>
      </c>
      <c r="P633" s="42">
        <v>80.0</v>
      </c>
      <c r="Q633" s="43">
        <v>117.0</v>
      </c>
      <c r="R633" s="43">
        <v>64.0</v>
      </c>
      <c r="S633" s="43">
        <v>38.0</v>
      </c>
      <c r="T633" s="61" t="s">
        <v>42</v>
      </c>
      <c r="U633" s="41" t="s">
        <v>1191</v>
      </c>
      <c r="V633" s="35" t="s">
        <v>89</v>
      </c>
      <c r="Z633" s="45">
        <v>42917.0</v>
      </c>
      <c r="AA633" s="57"/>
      <c r="AB633" s="57"/>
      <c r="AC633" s="57"/>
      <c r="AD633" s="57"/>
      <c r="AE633" s="57"/>
      <c r="AF633" s="57"/>
      <c r="AG633" s="57"/>
      <c r="AH633" s="57"/>
    </row>
    <row r="634" ht="15.0" customHeight="1">
      <c r="A634" s="81"/>
      <c r="B634" s="41" t="s">
        <v>330</v>
      </c>
      <c r="C634" s="76">
        <v>14978.4</v>
      </c>
      <c r="D634" s="83" t="str">
        <f>HYPERLINK("https://osu.ppy.sh/u/3069354","DanyL")</f>
        <v>DanyL</v>
      </c>
      <c r="E634" s="61"/>
      <c r="F634" s="145"/>
      <c r="G634" s="128"/>
      <c r="H634" s="128"/>
      <c r="I634" s="128"/>
      <c r="J634" s="129"/>
      <c r="K634" s="115"/>
      <c r="L634" s="57"/>
      <c r="M634" s="57"/>
      <c r="N634" s="57"/>
      <c r="O634" s="57"/>
      <c r="P634" s="79"/>
      <c r="Q634" s="147"/>
      <c r="R634" s="147"/>
      <c r="S634" s="147"/>
      <c r="T634" s="57"/>
      <c r="U634" s="57"/>
      <c r="V634" s="57"/>
      <c r="AA634" s="57"/>
      <c r="AB634" s="57"/>
      <c r="AC634" s="57"/>
      <c r="AD634" s="57"/>
      <c r="AE634" s="57"/>
      <c r="AF634" s="57"/>
      <c r="AG634" s="57"/>
      <c r="AH634" s="57"/>
    </row>
    <row r="635" ht="15.0" customHeight="1">
      <c r="A635" s="81"/>
      <c r="B635" s="41"/>
      <c r="C635" s="33">
        <v>12334.3</v>
      </c>
      <c r="D635" s="94" t="str">
        <f>HYPERLINK("https://osu.ppy.sh/u/5798349","Jageko")</f>
        <v>Jageko</v>
      </c>
      <c r="E635" s="1" t="s">
        <v>28</v>
      </c>
      <c r="F635" s="48" t="s">
        <v>77</v>
      </c>
      <c r="G635" s="48" t="s">
        <v>29</v>
      </c>
      <c r="H635" s="48" t="s">
        <v>820</v>
      </c>
      <c r="I635" s="48" t="s">
        <v>31</v>
      </c>
      <c r="J635" s="59" t="s">
        <v>32</v>
      </c>
      <c r="K635" s="1" t="s">
        <v>33</v>
      </c>
      <c r="M635" s="1" t="s">
        <v>529</v>
      </c>
      <c r="N635" s="1" t="s">
        <v>2237</v>
      </c>
      <c r="O635" s="35"/>
      <c r="P635" s="48"/>
      <c r="Q635" s="48"/>
      <c r="S635" s="48"/>
      <c r="U635" s="1" t="s">
        <v>117</v>
      </c>
      <c r="V635" s="1" t="s">
        <v>89</v>
      </c>
      <c r="Z635" s="45">
        <v>43313.0</v>
      </c>
      <c r="AA635" s="57"/>
      <c r="AB635" s="57"/>
      <c r="AC635" s="57"/>
      <c r="AD635" s="57"/>
      <c r="AE635" s="57"/>
      <c r="AF635" s="57"/>
      <c r="AG635" s="57"/>
      <c r="AH635" s="57"/>
    </row>
    <row r="636" ht="15.0" customHeight="1">
      <c r="A636" s="139"/>
      <c r="B636" s="40" t="s">
        <v>2238</v>
      </c>
      <c r="C636" s="46">
        <v>10239.3</v>
      </c>
      <c r="D636" s="105" t="str">
        <f>HYPERLINK("https://osu.ppy.sh/u/903167","My Aim Trash")</f>
        <v>My Aim Trash</v>
      </c>
      <c r="E636" s="75" t="s">
        <v>28</v>
      </c>
      <c r="F636" s="134">
        <v>1000.0</v>
      </c>
      <c r="G636" s="64" t="s">
        <v>29</v>
      </c>
      <c r="H636" s="64" t="s">
        <v>67</v>
      </c>
      <c r="I636" s="64" t="s">
        <v>311</v>
      </c>
      <c r="J636" s="67" t="s">
        <v>32</v>
      </c>
      <c r="K636" s="90">
        <v>1000.0</v>
      </c>
      <c r="L636" s="75" t="s">
        <v>107</v>
      </c>
      <c r="M636" s="75" t="s">
        <v>2239</v>
      </c>
      <c r="N636" s="75" t="s">
        <v>116</v>
      </c>
      <c r="O636" s="75" t="s">
        <v>910</v>
      </c>
      <c r="P636" s="79">
        <v>90.0</v>
      </c>
      <c r="Q636" s="80">
        <v>120.0</v>
      </c>
      <c r="R636" s="80">
        <v>70.0</v>
      </c>
      <c r="S636" s="80">
        <v>35.0</v>
      </c>
      <c r="T636" s="75" t="s">
        <v>42</v>
      </c>
      <c r="U636" s="75" t="s">
        <v>2240</v>
      </c>
      <c r="V636" s="75" t="s">
        <v>899</v>
      </c>
      <c r="W636" s="57"/>
      <c r="X636" s="57"/>
      <c r="Y636" s="57"/>
      <c r="Z636" s="148"/>
      <c r="AA636" s="57"/>
      <c r="AB636" s="57"/>
      <c r="AC636" s="57"/>
      <c r="AD636" s="57"/>
      <c r="AE636" s="57"/>
      <c r="AF636" s="57"/>
      <c r="AG636" s="57"/>
      <c r="AH636" s="57"/>
    </row>
    <row r="637">
      <c r="A637" s="139"/>
      <c r="B637" s="209"/>
      <c r="C637" s="98"/>
      <c r="D637" s="210" t="str">
        <f>HYPERLINK("https://osu.ppy.sh/u/7576357","wildtom")</f>
        <v>wildtom</v>
      </c>
      <c r="E637" s="35"/>
      <c r="F637" s="36"/>
      <c r="G637" s="66"/>
      <c r="H637" s="37"/>
      <c r="I637" s="37"/>
      <c r="J637" s="38"/>
      <c r="K637" s="39"/>
      <c r="L637" s="40"/>
      <c r="M637" s="40"/>
      <c r="N637" s="40"/>
      <c r="O637" s="35"/>
      <c r="P637" s="79"/>
      <c r="Q637" s="80"/>
      <c r="R637" s="80"/>
      <c r="S637" s="80"/>
      <c r="T637" s="61"/>
      <c r="U637" s="40"/>
      <c r="V637" s="40"/>
      <c r="Z637" s="45"/>
      <c r="AA637" s="57"/>
      <c r="AB637" s="57"/>
      <c r="AC637" s="57"/>
    </row>
    <row r="638">
      <c r="A638" s="139"/>
      <c r="B638" s="40" t="s">
        <v>2241</v>
      </c>
      <c r="C638" s="46">
        <v>8693.8</v>
      </c>
      <c r="D638" s="47" t="str">
        <f>HYPERLINK("https://osu.ppy.sh/u/4909088","Will Stetson")</f>
        <v>Will Stetson</v>
      </c>
      <c r="E638" s="35" t="s">
        <v>28</v>
      </c>
      <c r="F638" s="36" t="s">
        <v>105</v>
      </c>
      <c r="G638" s="66" t="s">
        <v>29</v>
      </c>
      <c r="H638" s="37" t="s">
        <v>2242</v>
      </c>
      <c r="I638" s="37" t="s">
        <v>311</v>
      </c>
      <c r="J638" s="38" t="s">
        <v>32</v>
      </c>
      <c r="K638" s="39" t="s">
        <v>33</v>
      </c>
      <c r="L638" s="40" t="s">
        <v>68</v>
      </c>
      <c r="M638" s="40" t="s">
        <v>2243</v>
      </c>
      <c r="N638" s="40" t="s">
        <v>2244</v>
      </c>
      <c r="O638" s="35" t="s">
        <v>70</v>
      </c>
      <c r="P638" s="79"/>
      <c r="Q638" s="80"/>
      <c r="R638" s="80"/>
      <c r="S638" s="80"/>
      <c r="T638" s="61" t="s">
        <v>479</v>
      </c>
      <c r="U638" s="40" t="s">
        <v>289</v>
      </c>
      <c r="V638" s="40" t="s">
        <v>74</v>
      </c>
      <c r="Z638" s="45">
        <v>43435.0</v>
      </c>
      <c r="AA638" s="57"/>
      <c r="AB638" s="57"/>
      <c r="AC638" s="57"/>
    </row>
    <row r="639">
      <c r="A639" s="139"/>
      <c r="B639" s="40" t="s">
        <v>297</v>
      </c>
      <c r="C639" s="46">
        <v>15151.9</v>
      </c>
      <c r="D639" s="83" t="str">
        <f>HYPERLINK("https://osu.ppy.sh/u/6404027","Bartek22830")</f>
        <v>Bartek22830</v>
      </c>
      <c r="E639" s="40" t="s">
        <v>28</v>
      </c>
      <c r="F639" s="36">
        <v>800.0</v>
      </c>
      <c r="G639" s="37" t="s">
        <v>29</v>
      </c>
      <c r="H639" s="37" t="s">
        <v>2245</v>
      </c>
      <c r="I639" s="37" t="s">
        <v>106</v>
      </c>
      <c r="J639" s="38" t="s">
        <v>32</v>
      </c>
      <c r="K639" s="39">
        <v>250.0</v>
      </c>
      <c r="L639" s="40" t="s">
        <v>287</v>
      </c>
      <c r="M639" s="40" t="s">
        <v>2246</v>
      </c>
      <c r="N639" s="40" t="s">
        <v>623</v>
      </c>
      <c r="O639" s="69"/>
      <c r="P639" s="79"/>
      <c r="Q639" s="80"/>
      <c r="R639" s="80"/>
      <c r="S639" s="80"/>
      <c r="T639" s="57"/>
      <c r="U639" s="40" t="s">
        <v>2247</v>
      </c>
      <c r="V639" s="40" t="s">
        <v>74</v>
      </c>
      <c r="Z639" s="45">
        <v>42948.0</v>
      </c>
      <c r="AA639" s="57"/>
      <c r="AB639" s="57"/>
      <c r="AC639" s="57"/>
    </row>
    <row r="640">
      <c r="A640" s="139"/>
      <c r="B640" s="40" t="s">
        <v>2248</v>
      </c>
      <c r="C640" s="46">
        <v>10396.7</v>
      </c>
      <c r="D640" s="34" t="str">
        <f>HYPERLINK("https://osu.ppy.sh/u/3654630","Landegre-")</f>
        <v>Landegre-</v>
      </c>
      <c r="E640" s="41" t="s">
        <v>28</v>
      </c>
      <c r="F640" s="63" t="s">
        <v>105</v>
      </c>
      <c r="G640" s="65" t="s">
        <v>29</v>
      </c>
      <c r="H640" s="65" t="s">
        <v>67</v>
      </c>
      <c r="I640" s="65" t="s">
        <v>106</v>
      </c>
      <c r="J640" s="70"/>
      <c r="K640" s="115"/>
      <c r="L640" s="52" t="s">
        <v>107</v>
      </c>
      <c r="M640" s="41" t="s">
        <v>1933</v>
      </c>
      <c r="N640" s="69"/>
      <c r="O640" s="35"/>
      <c r="P640" s="72"/>
      <c r="Q640" s="73"/>
      <c r="R640" s="73"/>
      <c r="S640" s="73"/>
      <c r="T640" s="61"/>
      <c r="U640" s="41" t="s">
        <v>117</v>
      </c>
      <c r="V640" s="118" t="s">
        <v>89</v>
      </c>
      <c r="Z640" s="45"/>
      <c r="AA640" s="57"/>
      <c r="AB640" s="57"/>
    </row>
    <row r="641">
      <c r="A641" s="32"/>
      <c r="B641" s="41" t="s">
        <v>2249</v>
      </c>
      <c r="C641" s="46">
        <v>8446.7</v>
      </c>
      <c r="D641" s="62" t="str">
        <f>HYPERLINK("https://osu.ppy.sh/u/2061326","oitaN")</f>
        <v>oitaN</v>
      </c>
      <c r="E641" s="35" t="s">
        <v>571</v>
      </c>
      <c r="F641" s="63">
        <v>400.0</v>
      </c>
      <c r="G641" s="66" t="s">
        <v>29</v>
      </c>
      <c r="H641" s="66" t="s">
        <v>2250</v>
      </c>
      <c r="I641" s="66" t="s">
        <v>311</v>
      </c>
      <c r="J641" s="49"/>
      <c r="K641" s="71">
        <v>1000.0</v>
      </c>
      <c r="L641" s="61" t="s">
        <v>222</v>
      </c>
      <c r="M641" s="35" t="s">
        <v>658</v>
      </c>
      <c r="N641" s="35" t="s">
        <v>696</v>
      </c>
      <c r="O641" s="35" t="s">
        <v>52</v>
      </c>
      <c r="P641" s="72">
        <v>102.0</v>
      </c>
      <c r="Q641" s="73">
        <v>131.0</v>
      </c>
      <c r="R641" s="73">
        <v>72.0</v>
      </c>
      <c r="S641" s="73">
        <v>42.0</v>
      </c>
      <c r="T641" s="44" t="s">
        <v>218</v>
      </c>
      <c r="U641" s="57"/>
      <c r="V641" s="133" t="s">
        <v>63</v>
      </c>
    </row>
    <row r="642">
      <c r="A642" s="139"/>
      <c r="B642" s="40" t="s">
        <v>2251</v>
      </c>
      <c r="C642" s="46">
        <v>9424.88</v>
      </c>
      <c r="D642" s="62" t="str">
        <f>HYPERLINK("https://osu.ppy.sh/u/137441","Rakyero")</f>
        <v>Rakyero</v>
      </c>
      <c r="E642" s="35" t="s">
        <v>28</v>
      </c>
      <c r="F642" s="63">
        <v>800.0</v>
      </c>
      <c r="G642" s="66" t="s">
        <v>29</v>
      </c>
      <c r="H642" s="66" t="s">
        <v>67</v>
      </c>
      <c r="I642" s="66" t="s">
        <v>31</v>
      </c>
      <c r="J642" s="70" t="s">
        <v>32</v>
      </c>
      <c r="K642" s="71">
        <v>1000.0</v>
      </c>
      <c r="L642" s="61" t="s">
        <v>222</v>
      </c>
      <c r="M642" s="75" t="s">
        <v>2065</v>
      </c>
      <c r="N642" s="75" t="s">
        <v>2252</v>
      </c>
      <c r="O642" s="35" t="s">
        <v>52</v>
      </c>
      <c r="P642" s="72">
        <v>90.0</v>
      </c>
      <c r="Q642" s="73">
        <v>128.0</v>
      </c>
      <c r="R642" s="73">
        <v>67.0</v>
      </c>
      <c r="S642" s="73">
        <v>40.0</v>
      </c>
      <c r="T642" s="61" t="s">
        <v>42</v>
      </c>
      <c r="U642" s="35" t="s">
        <v>605</v>
      </c>
      <c r="V642" s="35" t="s">
        <v>74</v>
      </c>
    </row>
    <row r="643">
      <c r="A643" s="139"/>
      <c r="B643" s="40" t="s">
        <v>2253</v>
      </c>
      <c r="C643" s="46">
        <v>10162.3</v>
      </c>
      <c r="D643" s="62" t="str">
        <f>HYPERLINK("https://osu.ppy.sh/u/4600341","Happy New Year")</f>
        <v>Happy New Year</v>
      </c>
      <c r="E643" s="35" t="s">
        <v>28</v>
      </c>
      <c r="F643" s="63">
        <v>1000.0</v>
      </c>
      <c r="G643" s="128"/>
      <c r="H643" s="64" t="s">
        <v>67</v>
      </c>
      <c r="I643" s="64" t="s">
        <v>242</v>
      </c>
      <c r="J643" s="129"/>
      <c r="K643" s="115"/>
      <c r="L643" s="44" t="s">
        <v>2254</v>
      </c>
      <c r="M643" s="75" t="s">
        <v>433</v>
      </c>
      <c r="N643" s="57"/>
      <c r="O643" s="75" t="s">
        <v>435</v>
      </c>
      <c r="P643" s="79"/>
      <c r="Q643" s="147"/>
      <c r="R643" s="147"/>
      <c r="S643" s="147"/>
      <c r="T643" s="57"/>
      <c r="U643" s="75" t="s">
        <v>2255</v>
      </c>
      <c r="V643" s="173" t="s">
        <v>89</v>
      </c>
      <c r="W643" s="57"/>
      <c r="X643" s="57"/>
      <c r="Y643" s="57"/>
      <c r="Z643" s="45">
        <v>42795.0</v>
      </c>
    </row>
    <row r="644">
      <c r="A644" s="139"/>
      <c r="B644" s="40" t="s">
        <v>2256</v>
      </c>
      <c r="C644" s="46">
        <v>10332.4</v>
      </c>
      <c r="D644" s="62" t="str">
        <f>HYPERLINK("https://osu.ppy.sh/u/3360947","_WinRAWR")</f>
        <v>_WinRAWR</v>
      </c>
      <c r="E644" s="61" t="s">
        <v>28</v>
      </c>
      <c r="F644" s="36">
        <v>800.0</v>
      </c>
      <c r="G644" s="37" t="s">
        <v>29</v>
      </c>
      <c r="H644" s="37" t="s">
        <v>67</v>
      </c>
      <c r="I644" s="37" t="s">
        <v>31</v>
      </c>
      <c r="J644" s="38" t="s">
        <v>32</v>
      </c>
      <c r="K644" s="82"/>
      <c r="L644" s="69"/>
      <c r="M644" s="35" t="s">
        <v>199</v>
      </c>
      <c r="N644" s="40" t="s">
        <v>2257</v>
      </c>
      <c r="O644" s="35" t="s">
        <v>391</v>
      </c>
      <c r="P644" s="72">
        <v>103.0</v>
      </c>
      <c r="Q644" s="73">
        <v>136.0</v>
      </c>
      <c r="R644" s="73">
        <v>72.0</v>
      </c>
      <c r="S644" s="73">
        <v>41.0</v>
      </c>
      <c r="T644" s="61" t="s">
        <v>42</v>
      </c>
      <c r="U644" s="40" t="s">
        <v>2258</v>
      </c>
      <c r="V644" s="40" t="s">
        <v>94</v>
      </c>
      <c r="Z644" s="45">
        <v>42979.0</v>
      </c>
    </row>
    <row r="645">
      <c r="A645" s="139"/>
      <c r="B645" s="40" t="s">
        <v>2259</v>
      </c>
      <c r="C645" s="46">
        <v>7477.43</v>
      </c>
      <c r="D645" s="62" t="str">
        <f>HYPERLINK("https://osu.ppy.sh/u/1301770","Yushi")</f>
        <v>Yushi</v>
      </c>
      <c r="E645" s="35" t="s">
        <v>28</v>
      </c>
      <c r="F645" s="63">
        <v>1800.0</v>
      </c>
      <c r="G645" s="65" t="s">
        <v>29</v>
      </c>
      <c r="H645" s="65" t="s">
        <v>59</v>
      </c>
      <c r="I645" s="65" t="s">
        <v>106</v>
      </c>
      <c r="J645" s="89" t="s">
        <v>32</v>
      </c>
      <c r="K645" s="71">
        <v>1000.0</v>
      </c>
      <c r="L645" s="52" t="s">
        <v>272</v>
      </c>
      <c r="M645" s="41" t="s">
        <v>1438</v>
      </c>
      <c r="N645" s="35" t="s">
        <v>116</v>
      </c>
      <c r="O645" s="35"/>
      <c r="P645" s="50"/>
      <c r="Q645" s="51"/>
      <c r="R645" s="51"/>
      <c r="S645" s="51"/>
      <c r="T645" s="35"/>
      <c r="U645" s="40" t="s">
        <v>62</v>
      </c>
      <c r="V645" s="40" t="s">
        <v>63</v>
      </c>
    </row>
    <row r="646">
      <c r="A646" s="139"/>
      <c r="B646" s="40" t="s">
        <v>2260</v>
      </c>
      <c r="C646" s="46">
        <v>6638.34</v>
      </c>
      <c r="D646" s="62" t="str">
        <f>HYPERLINK("https://osu.ppy.sh/u/3786773","kasdeya")</f>
        <v>kasdeya</v>
      </c>
      <c r="E646" s="35" t="s">
        <v>571</v>
      </c>
      <c r="F646" s="63">
        <v>400.0</v>
      </c>
      <c r="G646" s="66" t="s">
        <v>29</v>
      </c>
      <c r="H646" s="66" t="s">
        <v>527</v>
      </c>
      <c r="I646" s="66" t="s">
        <v>421</v>
      </c>
      <c r="J646" s="70" t="s">
        <v>32</v>
      </c>
      <c r="K646" s="71">
        <v>500.0</v>
      </c>
      <c r="L646" s="61" t="s">
        <v>1261</v>
      </c>
      <c r="M646" s="35" t="s">
        <v>1905</v>
      </c>
      <c r="N646" s="35" t="s">
        <v>116</v>
      </c>
      <c r="O646" s="35" t="s">
        <v>1423</v>
      </c>
      <c r="P646" s="72">
        <v>103.0</v>
      </c>
      <c r="Q646" s="73">
        <v>132.0</v>
      </c>
      <c r="R646" s="73">
        <v>69.0</v>
      </c>
      <c r="S646" s="73">
        <v>44.0</v>
      </c>
      <c r="T646" s="35" t="s">
        <v>1906</v>
      </c>
      <c r="U646" s="69"/>
      <c r="V646" s="69"/>
      <c r="Z646" s="45">
        <v>42826.0</v>
      </c>
    </row>
    <row r="647">
      <c r="A647" s="139"/>
      <c r="B647" s="40" t="s">
        <v>2261</v>
      </c>
      <c r="C647" s="33">
        <v>8574.56</v>
      </c>
      <c r="D647" s="34" t="str">
        <f>HYPERLINK("https://osu.ppy.sh/u/8607968","Akamatsu")</f>
        <v>Akamatsu</v>
      </c>
      <c r="E647" s="1" t="s">
        <v>28</v>
      </c>
      <c r="F647" s="158">
        <v>1600.0</v>
      </c>
      <c r="G647" s="48" t="s">
        <v>2262</v>
      </c>
      <c r="H647" s="48" t="s">
        <v>2263</v>
      </c>
      <c r="I647" s="48" t="s">
        <v>31</v>
      </c>
      <c r="J647" s="59" t="s">
        <v>32</v>
      </c>
      <c r="K647" s="74" t="s">
        <v>33</v>
      </c>
      <c r="L647" s="1" t="s">
        <v>2264</v>
      </c>
      <c r="M647" s="1" t="s">
        <v>108</v>
      </c>
      <c r="N647" s="1" t="s">
        <v>295</v>
      </c>
      <c r="O647" s="1" t="s">
        <v>109</v>
      </c>
      <c r="P647" s="85" t="s">
        <v>110</v>
      </c>
      <c r="Q647" s="86" t="s">
        <v>39</v>
      </c>
      <c r="R647" s="87" t="s">
        <v>72</v>
      </c>
      <c r="S647" s="87" t="s">
        <v>41</v>
      </c>
      <c r="T647" s="48" t="s">
        <v>42</v>
      </c>
      <c r="U647" s="1" t="s">
        <v>2265</v>
      </c>
      <c r="V647" s="1" t="s">
        <v>2266</v>
      </c>
      <c r="Z647" s="45"/>
    </row>
    <row r="648">
      <c r="A648" s="139"/>
      <c r="B648" s="1" t="s">
        <v>2267</v>
      </c>
      <c r="C648" s="46">
        <v>8408.66</v>
      </c>
      <c r="D648" s="62" t="str">
        <f>HYPERLINK("https://osu.ppy.sh/u/1175528","TCN")</f>
        <v>TCN</v>
      </c>
      <c r="E648" s="61" t="s">
        <v>28</v>
      </c>
      <c r="F648" s="36">
        <v>1000.0</v>
      </c>
      <c r="G648" s="37" t="s">
        <v>29</v>
      </c>
      <c r="H648" s="37" t="s">
        <v>2268</v>
      </c>
      <c r="I648" s="66" t="s">
        <v>31</v>
      </c>
      <c r="J648" s="38" t="s">
        <v>32</v>
      </c>
      <c r="K648" s="39">
        <v>1000.0</v>
      </c>
      <c r="L648" s="40" t="s">
        <v>2269</v>
      </c>
      <c r="M648" s="35" t="s">
        <v>1438</v>
      </c>
      <c r="N648" s="40" t="s">
        <v>2270</v>
      </c>
      <c r="O648" s="69"/>
      <c r="P648" s="79"/>
      <c r="Q648" s="80"/>
      <c r="R648" s="80"/>
      <c r="S648" s="80"/>
      <c r="T648" s="69"/>
      <c r="U648" s="40" t="s">
        <v>2150</v>
      </c>
      <c r="V648" s="35" t="s">
        <v>899</v>
      </c>
    </row>
    <row r="649">
      <c r="A649" s="139"/>
      <c r="B649" s="1" t="s">
        <v>2271</v>
      </c>
      <c r="C649" s="46">
        <v>9063.21</v>
      </c>
      <c r="D649" s="116" t="str">
        <f>HYPERLINK("https://osu.ppy.sh/u/3036203","Kano")</f>
        <v>Kano</v>
      </c>
      <c r="E649" s="61" t="s">
        <v>28</v>
      </c>
      <c r="F649" s="63">
        <v>800.0</v>
      </c>
      <c r="G649" s="66" t="s">
        <v>29</v>
      </c>
      <c r="H649" s="65">
        <v>1.25</v>
      </c>
      <c r="I649" s="66" t="s">
        <v>31</v>
      </c>
      <c r="J649" s="70" t="s">
        <v>32</v>
      </c>
      <c r="K649" s="71">
        <v>1000.0</v>
      </c>
      <c r="L649" s="52" t="s">
        <v>417</v>
      </c>
      <c r="M649" s="41" t="s">
        <v>962</v>
      </c>
      <c r="N649" s="35" t="s">
        <v>2272</v>
      </c>
      <c r="O649" s="35" t="s">
        <v>524</v>
      </c>
      <c r="P649" s="72">
        <v>90.0</v>
      </c>
      <c r="Q649" s="73">
        <v>128.0</v>
      </c>
      <c r="R649" s="73">
        <v>67.0</v>
      </c>
      <c r="S649" s="73">
        <v>37.0</v>
      </c>
      <c r="T649" s="44" t="s">
        <v>53</v>
      </c>
      <c r="U649" s="41" t="s">
        <v>1474</v>
      </c>
      <c r="V649" s="75" t="s">
        <v>74</v>
      </c>
      <c r="Z649" s="45">
        <v>42887.0</v>
      </c>
    </row>
    <row r="650">
      <c r="A650" s="139"/>
      <c r="B650" s="1"/>
      <c r="C650" s="33">
        <v>8089.99</v>
      </c>
      <c r="D650" s="34" t="str">
        <f>HYPERLINK("https://osu.ppy.sh/u/12360689","BehaveDude")</f>
        <v>BehaveDude</v>
      </c>
      <c r="E650" s="1" t="s">
        <v>28</v>
      </c>
      <c r="F650" s="36" t="s">
        <v>206</v>
      </c>
      <c r="G650" s="48" t="s">
        <v>29</v>
      </c>
      <c r="H650" s="48" t="s">
        <v>67</v>
      </c>
      <c r="I650" s="48" t="s">
        <v>31</v>
      </c>
      <c r="J650" s="59" t="s">
        <v>32</v>
      </c>
      <c r="K650" s="74">
        <v>1000.0</v>
      </c>
      <c r="L650" s="1" t="s">
        <v>207</v>
      </c>
      <c r="M650" s="55" t="s">
        <v>2273</v>
      </c>
      <c r="N650" s="55" t="s">
        <v>2274</v>
      </c>
      <c r="O650" s="55" t="s">
        <v>2275</v>
      </c>
      <c r="P650" s="48" t="s">
        <v>187</v>
      </c>
      <c r="Q650" s="48" t="s">
        <v>346</v>
      </c>
      <c r="R650" s="48" t="s">
        <v>458</v>
      </c>
      <c r="S650" s="48" t="s">
        <v>323</v>
      </c>
      <c r="T650" s="48" t="s">
        <v>42</v>
      </c>
      <c r="U650" s="55" t="s">
        <v>2276</v>
      </c>
      <c r="V650" s="55" t="s">
        <v>2277</v>
      </c>
      <c r="Z650" s="45">
        <v>44105.0</v>
      </c>
    </row>
    <row r="651">
      <c r="A651" s="139"/>
      <c r="B651" s="1" t="s">
        <v>1170</v>
      </c>
      <c r="C651" s="46">
        <v>12275.6</v>
      </c>
      <c r="D651" s="62" t="str">
        <f>HYPERLINK("https://osu.ppy.sh/u/3556891","_demo")</f>
        <v>_demo</v>
      </c>
      <c r="E651" s="61" t="s">
        <v>28</v>
      </c>
      <c r="F651" s="63">
        <v>3400.0</v>
      </c>
      <c r="G651" s="66" t="s">
        <v>29</v>
      </c>
      <c r="H651" s="66" t="s">
        <v>67</v>
      </c>
      <c r="I651" s="66" t="s">
        <v>31</v>
      </c>
      <c r="J651" s="70" t="s">
        <v>32</v>
      </c>
      <c r="K651" s="82"/>
      <c r="L651" s="40" t="s">
        <v>1765</v>
      </c>
      <c r="M651" s="41" t="s">
        <v>412</v>
      </c>
      <c r="N651" s="41" t="s">
        <v>2278</v>
      </c>
      <c r="O651" s="35" t="s">
        <v>1978</v>
      </c>
      <c r="P651" s="72">
        <v>95.0</v>
      </c>
      <c r="Q651" s="73">
        <v>124.0</v>
      </c>
      <c r="R651" s="73">
        <v>63.0</v>
      </c>
      <c r="S651" s="73">
        <v>36.0</v>
      </c>
      <c r="T651" s="57"/>
      <c r="U651" s="75" t="s">
        <v>2279</v>
      </c>
      <c r="V651" s="41" t="s">
        <v>203</v>
      </c>
    </row>
    <row r="652">
      <c r="A652" s="139"/>
      <c r="B652" s="40" t="s">
        <v>2280</v>
      </c>
      <c r="C652" s="76">
        <v>8681.25</v>
      </c>
      <c r="D652" s="62" t="str">
        <f>HYPERLINK("https://osu.ppy.sh/u/697783","JappyBabes")</f>
        <v>JappyBabes</v>
      </c>
      <c r="E652" s="61" t="s">
        <v>28</v>
      </c>
      <c r="F652" s="145"/>
      <c r="G652" s="128"/>
      <c r="H652" s="128"/>
      <c r="I652" s="128"/>
      <c r="J652" s="129"/>
      <c r="K652" s="115"/>
      <c r="L652" s="57"/>
      <c r="M652" s="57"/>
      <c r="N652" s="57"/>
      <c r="O652" s="57"/>
      <c r="P652" s="79"/>
      <c r="Q652" s="147"/>
      <c r="R652" s="147"/>
      <c r="S652" s="147"/>
      <c r="T652" s="57"/>
      <c r="U652" s="57"/>
      <c r="V652" s="57"/>
    </row>
    <row r="653">
      <c r="A653" s="139"/>
      <c r="B653" s="40" t="s">
        <v>2281</v>
      </c>
      <c r="C653" s="46">
        <v>9630.02</v>
      </c>
      <c r="D653" s="62" t="str">
        <f>HYPERLINK("https://osu.ppy.sh/u/4924094","Herbayse")</f>
        <v>Herbayse</v>
      </c>
      <c r="E653" s="61" t="s">
        <v>28</v>
      </c>
      <c r="F653" s="36">
        <v>1000.0</v>
      </c>
      <c r="G653" s="37" t="s">
        <v>29</v>
      </c>
      <c r="H653" s="37" t="s">
        <v>67</v>
      </c>
      <c r="I653" s="37" t="s">
        <v>106</v>
      </c>
      <c r="J653" s="38" t="s">
        <v>192</v>
      </c>
      <c r="K653" s="82"/>
      <c r="L653" s="57"/>
      <c r="M653" s="40" t="s">
        <v>2282</v>
      </c>
      <c r="N653" s="40" t="s">
        <v>116</v>
      </c>
      <c r="O653" s="57"/>
      <c r="P653" s="42">
        <v>66.0</v>
      </c>
      <c r="Q653" s="43">
        <v>107.0</v>
      </c>
      <c r="R653" s="43">
        <v>73.0</v>
      </c>
      <c r="S653" s="43">
        <v>39.0</v>
      </c>
      <c r="T653" s="57"/>
      <c r="U653" s="40" t="s">
        <v>1866</v>
      </c>
      <c r="V653" s="40" t="s">
        <v>63</v>
      </c>
      <c r="Z653" s="45">
        <v>42795.0</v>
      </c>
    </row>
    <row r="654">
      <c r="A654" s="32"/>
      <c r="B654" s="41" t="s">
        <v>2283</v>
      </c>
      <c r="C654" s="76">
        <v>10118.9</v>
      </c>
      <c r="D654" s="62" t="str">
        <f>HYPERLINK("https://osu.ppy.sh/u/286740","Koalazy")</f>
        <v>Koalazy</v>
      </c>
      <c r="E654" s="35" t="s">
        <v>2169</v>
      </c>
      <c r="F654" s="63">
        <v>400.0</v>
      </c>
      <c r="G654" s="66" t="s">
        <v>29</v>
      </c>
      <c r="H654" s="66" t="s">
        <v>67</v>
      </c>
      <c r="I654" s="66" t="s">
        <v>31</v>
      </c>
      <c r="J654" s="70" t="s">
        <v>32</v>
      </c>
      <c r="K654" s="115"/>
      <c r="L654" s="44" t="s">
        <v>540</v>
      </c>
      <c r="M654" s="35" t="s">
        <v>658</v>
      </c>
      <c r="N654" s="69"/>
      <c r="O654" s="35" t="s">
        <v>52</v>
      </c>
      <c r="P654" s="72">
        <v>102.0</v>
      </c>
      <c r="Q654" s="73">
        <v>131.0</v>
      </c>
      <c r="R654" s="73">
        <v>72.0</v>
      </c>
      <c r="S654" s="73">
        <v>42.0</v>
      </c>
      <c r="T654" s="61" t="s">
        <v>218</v>
      </c>
      <c r="U654" s="35" t="s">
        <v>2284</v>
      </c>
      <c r="V654" s="187" t="s">
        <v>89</v>
      </c>
      <c r="W654" s="57"/>
      <c r="X654" s="57"/>
      <c r="Y654" s="57"/>
    </row>
    <row r="655">
      <c r="A655" s="81"/>
      <c r="B655" s="41" t="s">
        <v>2285</v>
      </c>
      <c r="C655" s="76">
        <v>7763.51</v>
      </c>
      <c r="D655" s="84" t="str">
        <f>HYPERLINK("https://osu.ppy.sh/u/1699875","Remyria")</f>
        <v>Remyria</v>
      </c>
      <c r="E655" s="52" t="s">
        <v>28</v>
      </c>
      <c r="F655" s="63">
        <v>1200.0</v>
      </c>
      <c r="G655" s="65" t="s">
        <v>29</v>
      </c>
      <c r="H655" s="65" t="s">
        <v>67</v>
      </c>
      <c r="I655" s="65" t="s">
        <v>98</v>
      </c>
      <c r="J655" s="89" t="s">
        <v>192</v>
      </c>
      <c r="K655" s="39">
        <v>1000.0</v>
      </c>
      <c r="L655" s="52" t="s">
        <v>114</v>
      </c>
      <c r="M655" s="41" t="s">
        <v>130</v>
      </c>
      <c r="N655" s="41" t="s">
        <v>2286</v>
      </c>
      <c r="O655" s="1" t="s">
        <v>70</v>
      </c>
      <c r="P655" s="72" t="s">
        <v>132</v>
      </c>
      <c r="Q655" s="73">
        <v>124.0</v>
      </c>
      <c r="R655" s="73">
        <v>68.0</v>
      </c>
      <c r="S655" s="73">
        <v>43.0</v>
      </c>
      <c r="T655" s="61" t="s">
        <v>42</v>
      </c>
      <c r="U655" s="41" t="s">
        <v>869</v>
      </c>
      <c r="V655" s="41" t="s">
        <v>44</v>
      </c>
      <c r="Z655" s="45">
        <v>42795.0</v>
      </c>
    </row>
    <row r="656" ht="9.75" customHeight="1">
      <c r="A656" s="32"/>
      <c r="B656" s="41" t="s">
        <v>872</v>
      </c>
      <c r="C656" s="46">
        <v>12830.6</v>
      </c>
      <c r="D656" s="83" t="str">
        <f>HYPERLINK("https://osu.ppy.sh/u/2932510","wuhua")</f>
        <v>wuhua</v>
      </c>
      <c r="E656" s="52" t="s">
        <v>28</v>
      </c>
      <c r="F656" s="63" t="s">
        <v>77</v>
      </c>
      <c r="G656" s="65" t="s">
        <v>29</v>
      </c>
      <c r="H656" s="65" t="s">
        <v>2250</v>
      </c>
      <c r="I656" s="66" t="s">
        <v>106</v>
      </c>
      <c r="J656" s="89" t="s">
        <v>32</v>
      </c>
      <c r="K656" s="39" t="s">
        <v>33</v>
      </c>
      <c r="L656" s="52" t="s">
        <v>287</v>
      </c>
      <c r="M656" s="106" t="s">
        <v>434</v>
      </c>
      <c r="N656" s="68" t="s">
        <v>259</v>
      </c>
      <c r="O656" s="35"/>
      <c r="P656" s="50"/>
      <c r="Q656" s="51"/>
      <c r="R656" s="51"/>
      <c r="S656" s="51"/>
      <c r="T656" s="61"/>
      <c r="U656" s="52" t="s">
        <v>2287</v>
      </c>
      <c r="V656" s="41" t="s">
        <v>63</v>
      </c>
    </row>
    <row r="657">
      <c r="A657" s="177"/>
      <c r="B657" s="211"/>
      <c r="C657" s="212"/>
      <c r="D657" s="211"/>
      <c r="E657" s="211"/>
      <c r="F657" s="213"/>
      <c r="G657" s="214"/>
      <c r="H657" s="214"/>
      <c r="I657" s="214"/>
      <c r="J657" s="215"/>
      <c r="K657" s="216"/>
      <c r="L657" s="211"/>
      <c r="M657" s="211"/>
      <c r="N657" s="211"/>
      <c r="O657" s="211"/>
      <c r="P657" s="217"/>
      <c r="Q657" s="218"/>
      <c r="R657" s="218"/>
      <c r="S657" s="218"/>
      <c r="T657" s="211"/>
      <c r="U657" s="211"/>
      <c r="V657" s="211"/>
    </row>
    <row r="658">
      <c r="A658" s="139"/>
      <c r="B658" s="219"/>
      <c r="C658" s="220"/>
      <c r="D658" s="221" t="s">
        <v>2288</v>
      </c>
      <c r="E658" s="44" t="s">
        <v>28</v>
      </c>
      <c r="F658" s="145"/>
      <c r="G658" s="128"/>
      <c r="H658" s="128"/>
      <c r="I658" s="128"/>
      <c r="J658" s="129"/>
      <c r="K658" s="115"/>
      <c r="L658" s="57"/>
      <c r="M658" s="57"/>
      <c r="N658" s="57"/>
      <c r="O658" s="57"/>
      <c r="P658" s="79"/>
      <c r="Q658" s="147"/>
      <c r="R658" s="147"/>
      <c r="S658" s="147"/>
      <c r="T658" s="57"/>
      <c r="U658" s="57"/>
      <c r="V658" s="57"/>
    </row>
    <row r="659">
      <c r="A659" s="139"/>
      <c r="B659" s="40" t="s">
        <v>182</v>
      </c>
      <c r="C659" s="76">
        <v>13145.0</v>
      </c>
      <c r="D659" s="222" t="str">
        <f>HYPERLINK("https://osu.ppy.sh/u/1341421","Shizuru-")</f>
        <v>Shizuru-</v>
      </c>
      <c r="E659" s="75" t="s">
        <v>571</v>
      </c>
      <c r="F659" s="63">
        <v>400.0</v>
      </c>
      <c r="G659" s="64" t="s">
        <v>29</v>
      </c>
      <c r="H659" s="64" t="s">
        <v>2289</v>
      </c>
      <c r="I659" s="64" t="s">
        <v>2290</v>
      </c>
      <c r="J659" s="67" t="s">
        <v>192</v>
      </c>
      <c r="K659" s="115"/>
      <c r="L659" s="44" t="s">
        <v>2291</v>
      </c>
      <c r="M659" s="75" t="s">
        <v>1905</v>
      </c>
      <c r="N659" s="57"/>
      <c r="O659" s="75" t="s">
        <v>1423</v>
      </c>
      <c r="P659" s="72">
        <v>103.0</v>
      </c>
      <c r="Q659" s="73">
        <v>132.0</v>
      </c>
      <c r="R659" s="73">
        <v>69.0</v>
      </c>
      <c r="S659" s="73">
        <v>44.0</v>
      </c>
      <c r="T659" s="75" t="s">
        <v>1906</v>
      </c>
      <c r="U659" s="57"/>
      <c r="V659" s="57"/>
    </row>
    <row r="660">
      <c r="A660" s="139"/>
      <c r="B660" s="40" t="s">
        <v>2292</v>
      </c>
      <c r="C660" s="76">
        <v>8023.01</v>
      </c>
      <c r="D660" s="222" t="str">
        <f>HYPERLINK("https://osu.ppy.sh/u/321562","Change")</f>
        <v>Change</v>
      </c>
      <c r="E660" s="75" t="s">
        <v>571</v>
      </c>
      <c r="F660" s="63">
        <v>400.0</v>
      </c>
      <c r="G660" s="64" t="s">
        <v>78</v>
      </c>
      <c r="H660" s="64" t="s">
        <v>67</v>
      </c>
      <c r="I660" s="64" t="s">
        <v>31</v>
      </c>
      <c r="J660" s="67" t="s">
        <v>192</v>
      </c>
      <c r="K660" s="71">
        <v>125.0</v>
      </c>
      <c r="L660" s="44" t="s">
        <v>263</v>
      </c>
      <c r="M660" s="75" t="s">
        <v>1422</v>
      </c>
      <c r="N660" s="57"/>
      <c r="O660" s="75" t="s">
        <v>1423</v>
      </c>
      <c r="P660" s="72">
        <v>125.0</v>
      </c>
      <c r="Q660" s="73">
        <v>124.0</v>
      </c>
      <c r="R660" s="73">
        <v>67.0</v>
      </c>
      <c r="S660" s="73">
        <v>40.0</v>
      </c>
      <c r="T660" s="44" t="s">
        <v>2214</v>
      </c>
      <c r="U660" s="57"/>
      <c r="V660" s="57"/>
    </row>
    <row r="661">
      <c r="A661" s="139"/>
      <c r="B661" s="219"/>
      <c r="C661" s="220"/>
      <c r="D661" s="223" t="s">
        <v>2293</v>
      </c>
      <c r="E661" s="44" t="s">
        <v>28</v>
      </c>
      <c r="F661" s="63">
        <v>1050.0</v>
      </c>
      <c r="G661" s="64" t="s">
        <v>29</v>
      </c>
      <c r="H661" s="64" t="s">
        <v>67</v>
      </c>
      <c r="I661" s="64" t="s">
        <v>106</v>
      </c>
      <c r="J661" s="67" t="s">
        <v>192</v>
      </c>
      <c r="K661" s="115"/>
      <c r="L661" s="44" t="s">
        <v>114</v>
      </c>
      <c r="M661" s="75" t="s">
        <v>2294</v>
      </c>
      <c r="N661" s="75" t="s">
        <v>430</v>
      </c>
      <c r="O661" s="57"/>
      <c r="P661" s="79"/>
      <c r="Q661" s="147"/>
      <c r="R661" s="147"/>
      <c r="S661" s="147"/>
      <c r="T661" s="57"/>
      <c r="U661" s="75" t="s">
        <v>62</v>
      </c>
      <c r="V661" s="75" t="s">
        <v>63</v>
      </c>
    </row>
    <row r="662">
      <c r="A662" s="139"/>
      <c r="B662" s="40" t="s">
        <v>1318</v>
      </c>
      <c r="C662" s="46">
        <v>12072.6</v>
      </c>
      <c r="D662" s="224" t="str">
        <f>HYPERLINK("https://osu.ppy.sh/u/6215032","Disaster")</f>
        <v>Disaster</v>
      </c>
      <c r="E662" s="75" t="s">
        <v>28</v>
      </c>
      <c r="F662" s="145"/>
      <c r="G662" s="128"/>
      <c r="H662" s="128"/>
      <c r="I662" s="128"/>
      <c r="J662" s="129"/>
      <c r="K662" s="115"/>
      <c r="L662" s="57"/>
      <c r="M662" s="57"/>
      <c r="N662" s="57"/>
      <c r="O662" s="57"/>
      <c r="P662" s="79"/>
      <c r="Q662" s="147"/>
      <c r="R662" s="147"/>
      <c r="S662" s="147"/>
      <c r="T662" s="57"/>
      <c r="U662" s="57"/>
      <c r="V662" s="57"/>
    </row>
    <row r="663">
      <c r="A663" s="139"/>
      <c r="B663" s="219"/>
      <c r="C663" s="220"/>
      <c r="D663" s="221" t="s">
        <v>2295</v>
      </c>
      <c r="E663" s="44" t="s">
        <v>28</v>
      </c>
      <c r="F663" s="145"/>
      <c r="G663" s="128"/>
      <c r="H663" s="128"/>
      <c r="I663" s="128"/>
      <c r="J663" s="129"/>
      <c r="K663" s="115"/>
      <c r="L663" s="57"/>
      <c r="M663" s="57"/>
      <c r="N663" s="57"/>
      <c r="O663" s="57"/>
      <c r="P663" s="79"/>
      <c r="Q663" s="147"/>
      <c r="R663" s="147"/>
      <c r="S663" s="147"/>
      <c r="T663" s="57"/>
      <c r="U663" s="57"/>
      <c r="V663" s="57"/>
    </row>
    <row r="664">
      <c r="A664" s="32"/>
      <c r="B664" s="97"/>
      <c r="C664" s="220"/>
      <c r="D664" s="221" t="s">
        <v>2296</v>
      </c>
      <c r="E664" s="61" t="s">
        <v>28</v>
      </c>
      <c r="F664" s="100"/>
      <c r="G664" s="128"/>
      <c r="H664" s="128"/>
      <c r="I664" s="128"/>
      <c r="J664" s="129"/>
      <c r="K664" s="82"/>
      <c r="L664" s="57"/>
      <c r="M664" s="57"/>
      <c r="N664" s="57"/>
      <c r="O664" s="57"/>
      <c r="P664" s="79"/>
      <c r="Q664" s="80"/>
      <c r="R664" s="80"/>
      <c r="S664" s="80"/>
      <c r="T664" s="57"/>
      <c r="U664" s="57"/>
      <c r="V664" s="57"/>
    </row>
    <row r="665">
      <c r="A665" s="32"/>
      <c r="B665" s="41" t="s">
        <v>2297</v>
      </c>
      <c r="C665" s="46"/>
      <c r="D665" s="225" t="str">
        <f>HYPERLINK("https://osu.ppy.sh/u/1446019","frs_old")</f>
        <v>frs_old</v>
      </c>
      <c r="E665" s="41" t="s">
        <v>28</v>
      </c>
      <c r="F665" s="63" t="s">
        <v>105</v>
      </c>
      <c r="G665" s="65" t="s">
        <v>29</v>
      </c>
      <c r="H665" s="65" t="s">
        <v>67</v>
      </c>
      <c r="I665" s="65" t="s">
        <v>31</v>
      </c>
      <c r="J665" s="89" t="s">
        <v>32</v>
      </c>
      <c r="K665" s="71" t="s">
        <v>33</v>
      </c>
      <c r="L665" s="52" t="s">
        <v>222</v>
      </c>
      <c r="M665" s="41" t="s">
        <v>485</v>
      </c>
      <c r="N665" s="41" t="s">
        <v>148</v>
      </c>
      <c r="O665" s="35" t="s">
        <v>52</v>
      </c>
      <c r="P665" s="50" t="s">
        <v>2116</v>
      </c>
      <c r="Q665" s="51" t="s">
        <v>2298</v>
      </c>
      <c r="R665" s="51" t="s">
        <v>347</v>
      </c>
      <c r="S665" s="51" t="s">
        <v>348</v>
      </c>
      <c r="T665" s="61" t="s">
        <v>218</v>
      </c>
      <c r="U665" s="110" t="s">
        <v>2299</v>
      </c>
      <c r="V665" s="68" t="s">
        <v>89</v>
      </c>
      <c r="Z665" s="45">
        <v>42917.0</v>
      </c>
    </row>
    <row r="666">
      <c r="A666" s="32"/>
      <c r="B666" s="40" t="s">
        <v>2300</v>
      </c>
      <c r="C666" s="46">
        <v>8420.86</v>
      </c>
      <c r="D666" s="224" t="str">
        <f>HYPERLINK("https://osu.ppy.sh/u/4681578","Squilly")</f>
        <v>Squilly</v>
      </c>
      <c r="E666" s="44" t="s">
        <v>372</v>
      </c>
      <c r="F666" s="63">
        <v>1170.0</v>
      </c>
      <c r="G666" s="64" t="s">
        <v>1571</v>
      </c>
      <c r="H666" s="64" t="s">
        <v>67</v>
      </c>
      <c r="I666" s="64" t="s">
        <v>2301</v>
      </c>
      <c r="J666" s="67" t="s">
        <v>192</v>
      </c>
      <c r="K666" s="71">
        <v>1000.0</v>
      </c>
      <c r="L666" s="44" t="s">
        <v>484</v>
      </c>
      <c r="M666" s="75" t="s">
        <v>1494</v>
      </c>
      <c r="N666" s="75" t="s">
        <v>61</v>
      </c>
      <c r="O666" s="75" t="s">
        <v>1495</v>
      </c>
      <c r="P666" s="72">
        <v>90.0</v>
      </c>
      <c r="Q666" s="73">
        <v>126.0</v>
      </c>
      <c r="R666" s="73">
        <v>68.0</v>
      </c>
      <c r="S666" s="73">
        <v>39.0</v>
      </c>
      <c r="T666" s="44" t="s">
        <v>42</v>
      </c>
      <c r="U666" s="75" t="s">
        <v>2302</v>
      </c>
      <c r="V666" s="75" t="s">
        <v>63</v>
      </c>
    </row>
    <row r="667">
      <c r="A667" s="81"/>
      <c r="B667" s="111" t="s">
        <v>423</v>
      </c>
      <c r="C667" s="226"/>
      <c r="D667" s="227" t="str">
        <f>HYPERLINK("https://osu.ppy.sh/u/1101196","Bozu_old")</f>
        <v>Bozu_old</v>
      </c>
      <c r="E667" s="41" t="s">
        <v>28</v>
      </c>
    </row>
    <row r="668">
      <c r="A668" s="81"/>
      <c r="B668" s="1" t="s">
        <v>2303</v>
      </c>
      <c r="C668" s="33">
        <v>9990.0</v>
      </c>
      <c r="D668" s="228" t="str">
        <f>HYPERLINK("https://osu.ppy.sh/u/9453325","DeMSKii")</f>
        <v>DeMSKii</v>
      </c>
      <c r="E668" s="41" t="s">
        <v>28</v>
      </c>
    </row>
    <row r="669" ht="15.0" customHeight="1">
      <c r="A669" s="32"/>
      <c r="B669" s="97"/>
      <c r="C669" s="98"/>
      <c r="D669" s="229" t="s">
        <v>2304</v>
      </c>
      <c r="E669" s="52" t="s">
        <v>28</v>
      </c>
      <c r="F669" s="134"/>
      <c r="G669" s="128"/>
      <c r="H669" s="64"/>
      <c r="I669" s="64"/>
      <c r="J669" s="67"/>
      <c r="K669" s="82"/>
      <c r="L669" s="44"/>
      <c r="M669" s="41"/>
      <c r="N669" s="57"/>
      <c r="O669" s="75"/>
      <c r="P669" s="50"/>
      <c r="Q669" s="51"/>
      <c r="R669" s="51"/>
      <c r="S669" s="51"/>
      <c r="T669" s="44"/>
      <c r="U669" s="57"/>
      <c r="V669" s="57"/>
    </row>
    <row r="670" ht="15.0" customHeight="1">
      <c r="A670" s="81"/>
      <c r="B670" s="111" t="s">
        <v>423</v>
      </c>
      <c r="C670" s="226"/>
      <c r="D670" s="230" t="str">
        <f>HYPERLINK("https://osu.ppy.sh/u/4406276","Nekopanchi_old")</f>
        <v>Nekopanchi_old</v>
      </c>
      <c r="E670" s="61" t="s">
        <v>28</v>
      </c>
      <c r="F670" s="109"/>
      <c r="G670" s="53"/>
      <c r="H670" s="53"/>
      <c r="I670" s="53"/>
      <c r="J670" s="54"/>
      <c r="K670" s="60"/>
      <c r="L670" s="53"/>
      <c r="P670" s="91"/>
      <c r="Q670" s="92"/>
      <c r="R670" s="93"/>
      <c r="S670" s="93"/>
      <c r="T670" s="53"/>
      <c r="U670" s="53"/>
    </row>
    <row r="671">
      <c r="A671" s="231"/>
    </row>
    <row r="672">
      <c r="A672" s="231"/>
      <c r="C672" s="232"/>
      <c r="D672" s="231"/>
      <c r="E672" s="56"/>
      <c r="F672" s="109"/>
      <c r="G672" s="53"/>
      <c r="H672" s="53"/>
      <c r="I672" s="53"/>
      <c r="J672" s="54"/>
      <c r="K672" s="60"/>
      <c r="L672" s="53"/>
      <c r="P672" s="91"/>
      <c r="Q672" s="92"/>
      <c r="R672" s="93"/>
      <c r="S672" s="93"/>
      <c r="T672" s="53"/>
      <c r="U672" s="53"/>
    </row>
  </sheetData>
  <mergeCells count="6">
    <mergeCell ref="A2:E2"/>
    <mergeCell ref="F2:L2"/>
    <mergeCell ref="M2:T2"/>
    <mergeCell ref="U2:V2"/>
    <mergeCell ref="A602:AH602"/>
    <mergeCell ref="A603:V603"/>
  </mergeCells>
  <conditionalFormatting sqref="A1:V1">
    <cfRule type="notContainsBlanks" dxfId="0" priority="1">
      <formula>LEN(TRIM(A1))&gt;0</formula>
    </cfRule>
  </conditionalFormatting>
  <conditionalFormatting sqref="D11">
    <cfRule type="notContainsBlanks" dxfId="1" priority="2">
      <formula>LEN(TRIM(D11))&gt;0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8.14"/>
    <col customWidth="1" min="3" max="3" width="7.29"/>
    <col customWidth="1" min="4" max="4" width="17.14"/>
    <col customWidth="1" min="5" max="5" width="10.71"/>
    <col customWidth="1" min="6" max="6" width="13.43"/>
    <col customWidth="1" min="7" max="7" width="8.14"/>
    <col customWidth="1" min="8" max="8" width="10.43"/>
    <col customWidth="1" min="9" max="9" width="12.57"/>
    <col customWidth="1" min="10" max="10" width="4.71"/>
    <col customWidth="1" min="11" max="11" width="8.29"/>
    <col customWidth="1" min="12" max="12" width="7.71"/>
    <col customWidth="1" min="13" max="13" width="27.14"/>
    <col customWidth="1" min="14" max="14" width="25.71"/>
    <col customWidth="1" min="15" max="15" width="17.0"/>
    <col customWidth="1" min="16" max="16" width="6.57"/>
    <col customWidth="1" min="17" max="19" width="6.86"/>
    <col customWidth="1" min="20" max="20" width="16.71"/>
    <col customWidth="1" min="21" max="21" width="25.43"/>
    <col customWidth="1" min="22" max="22" width="12.86"/>
  </cols>
  <sheetData>
    <row r="1">
      <c r="A1" s="233"/>
      <c r="B1" s="2"/>
      <c r="C1" s="3" t="str">
        <f>HYPERLINK("https://discord.gg/Fdqpknq","Discord")</f>
        <v>Discord</v>
      </c>
      <c r="D1" s="4" t="s">
        <v>2305</v>
      </c>
      <c r="E1" s="2"/>
      <c r="F1" s="5"/>
      <c r="G1" s="6"/>
      <c r="H1" s="6"/>
      <c r="I1" s="6"/>
      <c r="J1" s="7"/>
      <c r="K1" s="8"/>
      <c r="L1" s="2"/>
      <c r="M1" s="2"/>
      <c r="N1" s="2"/>
      <c r="O1" s="2"/>
      <c r="P1" s="9"/>
      <c r="Q1" s="10"/>
      <c r="R1" s="10"/>
      <c r="S1" s="10"/>
      <c r="T1" s="2"/>
      <c r="U1" s="2"/>
      <c r="V1" s="2"/>
    </row>
    <row r="2">
      <c r="A2" s="11" t="s">
        <v>2</v>
      </c>
      <c r="E2" s="12"/>
      <c r="F2" s="13" t="s">
        <v>3</v>
      </c>
      <c r="L2" s="12"/>
      <c r="M2" s="14" t="s">
        <v>4</v>
      </c>
      <c r="T2" s="12"/>
      <c r="U2" s="14" t="s">
        <v>5</v>
      </c>
      <c r="V2" s="15"/>
    </row>
    <row r="3">
      <c r="A3" s="16" t="s">
        <v>6</v>
      </c>
      <c r="B3" s="24" t="s">
        <v>7</v>
      </c>
      <c r="C3" s="234" t="s">
        <v>8</v>
      </c>
      <c r="D3" s="27" t="s">
        <v>9</v>
      </c>
      <c r="E3" s="20" t="s">
        <v>10</v>
      </c>
      <c r="F3" s="21" t="s">
        <v>11</v>
      </c>
      <c r="G3" s="22" t="str">
        <f>HYPERLINK("http://puu.sh/nJtmY/e2a5589f67.png","OS")</f>
        <v>OS</v>
      </c>
      <c r="H3" s="23" t="s">
        <v>12</v>
      </c>
      <c r="I3" s="23" t="s">
        <v>13</v>
      </c>
      <c r="J3" s="24" t="s">
        <v>14</v>
      </c>
      <c r="K3" s="25" t="s">
        <v>15</v>
      </c>
      <c r="L3" s="26" t="str">
        <f>HYPERLINK("http://jsfiddle.net/an789d4s/embedded/result/","Area")</f>
        <v>Area</v>
      </c>
      <c r="M3" s="27" t="s">
        <v>16</v>
      </c>
      <c r="N3" s="27" t="s">
        <v>17</v>
      </c>
      <c r="O3" s="27" t="s">
        <v>18</v>
      </c>
      <c r="P3" s="28" t="s">
        <v>19</v>
      </c>
      <c r="Q3" s="29" t="s">
        <v>20</v>
      </c>
      <c r="R3" s="29" t="s">
        <v>21</v>
      </c>
      <c r="S3" s="29" t="s">
        <v>22</v>
      </c>
      <c r="T3" s="30" t="s">
        <v>23</v>
      </c>
      <c r="U3" s="27" t="s">
        <v>24</v>
      </c>
      <c r="V3" s="31" t="s">
        <v>25</v>
      </c>
    </row>
    <row r="4">
      <c r="A4" s="139" t="s">
        <v>26</v>
      </c>
      <c r="B4" s="41" t="s">
        <v>2306</v>
      </c>
      <c r="C4" s="46">
        <v>6054.08</v>
      </c>
      <c r="D4" s="105" t="str">
        <f>HYPERLINK("https://osu.ppy.sh/u/4641949","Naowo")</f>
        <v>Naowo</v>
      </c>
      <c r="E4" s="75" t="s">
        <v>28</v>
      </c>
      <c r="F4" s="100" t="s">
        <v>813</v>
      </c>
      <c r="G4" s="128" t="s">
        <v>29</v>
      </c>
      <c r="H4" s="128" t="s">
        <v>67</v>
      </c>
      <c r="I4" s="128" t="s">
        <v>31</v>
      </c>
      <c r="J4" s="129" t="s">
        <v>32</v>
      </c>
      <c r="K4" s="82" t="s">
        <v>33</v>
      </c>
      <c r="L4" s="57" t="s">
        <v>341</v>
      </c>
      <c r="M4" s="57" t="s">
        <v>35</v>
      </c>
      <c r="N4" s="57" t="s">
        <v>116</v>
      </c>
      <c r="O4" s="75" t="s">
        <v>37</v>
      </c>
      <c r="P4" s="79">
        <v>80.0</v>
      </c>
      <c r="Q4" s="80">
        <v>117.0</v>
      </c>
      <c r="R4" s="80">
        <v>64.0</v>
      </c>
      <c r="S4" s="80">
        <v>38.0</v>
      </c>
      <c r="T4" s="75" t="s">
        <v>42</v>
      </c>
      <c r="U4" s="75" t="s">
        <v>668</v>
      </c>
      <c r="V4" s="75" t="s">
        <v>44</v>
      </c>
      <c r="W4" s="57"/>
      <c r="X4" s="57"/>
      <c r="Y4" s="57"/>
      <c r="Z4" s="235">
        <v>43221.0</v>
      </c>
      <c r="AA4" s="57"/>
      <c r="AB4" s="57"/>
      <c r="AC4" s="57"/>
      <c r="AD4" s="57"/>
      <c r="AE4" s="57"/>
      <c r="AF4" s="57"/>
      <c r="AG4" s="57"/>
      <c r="AH4" s="57"/>
    </row>
    <row r="5">
      <c r="A5" s="139" t="s">
        <v>45</v>
      </c>
      <c r="B5" s="57" t="s">
        <v>2307</v>
      </c>
      <c r="C5" s="236">
        <v>5786.29</v>
      </c>
      <c r="D5" s="237" t="str">
        <f>HYPERLINK("https://osu.ppy.sh/u/2176830","jorgeong10")</f>
        <v>jorgeong10</v>
      </c>
      <c r="E5" s="75" t="s">
        <v>28</v>
      </c>
      <c r="F5" s="145"/>
      <c r="G5" s="57"/>
      <c r="H5" s="57"/>
      <c r="I5" s="57"/>
      <c r="J5" s="57"/>
      <c r="K5" s="115"/>
      <c r="L5" s="57"/>
      <c r="M5" s="40"/>
      <c r="N5" s="57"/>
      <c r="O5" s="57"/>
      <c r="P5" s="146"/>
      <c r="Q5" s="147"/>
      <c r="R5" s="147"/>
      <c r="S5" s="14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</row>
    <row r="6">
      <c r="A6" s="139" t="s">
        <v>56</v>
      </c>
      <c r="B6" s="57" t="s">
        <v>2308</v>
      </c>
      <c r="C6" s="236">
        <v>5783.66</v>
      </c>
      <c r="D6" s="237" t="str">
        <f>HYPERLINK("https://osu.ppy.sh/u/3910567","Wulfgank")</f>
        <v>Wulfgank</v>
      </c>
      <c r="E6" s="75" t="s">
        <v>28</v>
      </c>
      <c r="F6" s="145"/>
      <c r="G6" s="57"/>
      <c r="H6" s="57"/>
      <c r="I6" s="57"/>
      <c r="J6" s="57"/>
      <c r="K6" s="115"/>
      <c r="L6" s="57"/>
      <c r="M6" s="57"/>
      <c r="N6" s="57"/>
      <c r="O6" s="57"/>
      <c r="P6" s="146"/>
      <c r="Q6" s="147"/>
      <c r="R6" s="147"/>
      <c r="S6" s="14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</row>
    <row r="7">
      <c r="A7" s="139" t="s">
        <v>64</v>
      </c>
      <c r="B7" s="57" t="s">
        <v>2309</v>
      </c>
      <c r="C7" s="236">
        <v>5782.99</v>
      </c>
      <c r="D7" s="237" t="str">
        <f>HYPERLINK("https://osu.ppy.sh/u/1011389","Sakisan")</f>
        <v>Sakisan</v>
      </c>
      <c r="E7" s="75" t="s">
        <v>571</v>
      </c>
      <c r="F7" s="100" t="s">
        <v>559</v>
      </c>
      <c r="G7" s="128" t="s">
        <v>29</v>
      </c>
      <c r="H7" s="128" t="s">
        <v>67</v>
      </c>
      <c r="I7" s="128" t="s">
        <v>31</v>
      </c>
      <c r="J7" s="129" t="s">
        <v>32</v>
      </c>
      <c r="K7" s="82" t="s">
        <v>81</v>
      </c>
      <c r="L7" s="57" t="s">
        <v>263</v>
      </c>
      <c r="M7" s="57" t="s">
        <v>2310</v>
      </c>
      <c r="N7" s="57" t="s">
        <v>1227</v>
      </c>
      <c r="O7" s="57" t="s">
        <v>2311</v>
      </c>
      <c r="P7" s="79" t="s">
        <v>2312</v>
      </c>
      <c r="Q7" s="147" t="s">
        <v>346</v>
      </c>
      <c r="R7" s="147" t="s">
        <v>347</v>
      </c>
      <c r="S7" s="147" t="s">
        <v>348</v>
      </c>
      <c r="T7" s="75" t="s">
        <v>42</v>
      </c>
      <c r="U7" s="238" t="s">
        <v>2313</v>
      </c>
      <c r="V7" s="238" t="s">
        <v>94</v>
      </c>
      <c r="W7" s="57"/>
      <c r="X7" s="57"/>
      <c r="Y7" s="57"/>
      <c r="Z7" s="235">
        <v>43101.0</v>
      </c>
      <c r="AA7" s="57"/>
      <c r="AB7" s="57"/>
      <c r="AC7" s="57"/>
      <c r="AD7" s="57"/>
      <c r="AE7" s="57"/>
      <c r="AF7" s="57"/>
      <c r="AG7" s="57"/>
      <c r="AH7" s="57"/>
    </row>
    <row r="8">
      <c r="A8" s="139" t="s">
        <v>75</v>
      </c>
      <c r="B8" s="57" t="s">
        <v>2314</v>
      </c>
      <c r="C8" s="236">
        <v>5780.0</v>
      </c>
      <c r="D8" s="237" t="str">
        <f>HYPERLINK("https://osu.ppy.sh/u/6671469","LgtS")</f>
        <v>LgtS</v>
      </c>
      <c r="E8" s="75" t="s">
        <v>28</v>
      </c>
      <c r="F8" s="145"/>
      <c r="G8" s="57"/>
      <c r="H8" s="57"/>
      <c r="I8" s="57"/>
      <c r="J8" s="57"/>
      <c r="K8" s="115"/>
      <c r="L8" s="57"/>
      <c r="M8" s="57"/>
      <c r="N8" s="57"/>
      <c r="O8" s="57"/>
      <c r="P8" s="146"/>
      <c r="Q8" s="147"/>
      <c r="R8" s="147"/>
      <c r="S8" s="14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</row>
    <row r="9">
      <c r="A9" s="139" t="s">
        <v>90</v>
      </c>
      <c r="B9" s="57" t="s">
        <v>2315</v>
      </c>
      <c r="C9" s="236">
        <v>5779.86</v>
      </c>
      <c r="D9" s="237" t="str">
        <f>HYPERLINK("https://osu.ppy.sh/u/5776339","STH531")</f>
        <v>STH531</v>
      </c>
      <c r="E9" s="75" t="s">
        <v>28</v>
      </c>
      <c r="F9" s="145"/>
      <c r="G9" s="57"/>
      <c r="H9" s="57"/>
      <c r="I9" s="57"/>
      <c r="J9" s="57"/>
      <c r="K9" s="115"/>
      <c r="L9" s="57"/>
      <c r="M9" s="57"/>
      <c r="N9" s="57"/>
      <c r="O9" s="57"/>
      <c r="P9" s="146"/>
      <c r="Q9" s="147"/>
      <c r="R9" s="147"/>
      <c r="S9" s="14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</row>
    <row r="10">
      <c r="A10" s="139" t="s">
        <v>95</v>
      </c>
      <c r="B10" s="75"/>
      <c r="C10" s="46">
        <v>5771.0</v>
      </c>
      <c r="D10" s="239" t="str">
        <f>HYPERLINK("https://osu.ppy.sh/users/11066874","OlexiyUA")</f>
        <v>OlexiyUA</v>
      </c>
      <c r="E10" s="75" t="s">
        <v>28</v>
      </c>
      <c r="F10" s="63" t="s">
        <v>105</v>
      </c>
      <c r="G10" s="65" t="s">
        <v>1571</v>
      </c>
      <c r="H10" s="65" t="s">
        <v>1981</v>
      </c>
      <c r="I10" s="65" t="s">
        <v>106</v>
      </c>
      <c r="J10" s="89" t="s">
        <v>32</v>
      </c>
      <c r="K10" s="71" t="s">
        <v>81</v>
      </c>
      <c r="L10" s="41" t="s">
        <v>2316</v>
      </c>
      <c r="M10" s="41" t="s">
        <v>2317</v>
      </c>
      <c r="N10" s="41" t="s">
        <v>2318</v>
      </c>
      <c r="O10" s="40" t="s">
        <v>2319</v>
      </c>
      <c r="P10" s="240" t="s">
        <v>2320</v>
      </c>
      <c r="Q10" s="241" t="s">
        <v>167</v>
      </c>
      <c r="R10" s="241" t="s">
        <v>2321</v>
      </c>
      <c r="S10" s="241" t="s">
        <v>217</v>
      </c>
      <c r="T10" s="75" t="s">
        <v>42</v>
      </c>
      <c r="U10" s="41" t="s">
        <v>62</v>
      </c>
      <c r="V10" s="41" t="s">
        <v>63</v>
      </c>
      <c r="W10" s="57"/>
      <c r="X10" s="57"/>
      <c r="Y10" s="57"/>
      <c r="Z10" s="78">
        <v>43709.0</v>
      </c>
      <c r="AA10" s="57"/>
      <c r="AB10" s="57"/>
      <c r="AC10" s="57"/>
      <c r="AD10" s="57"/>
      <c r="AE10" s="57"/>
      <c r="AF10" s="57"/>
      <c r="AG10" s="57"/>
      <c r="AH10" s="57"/>
    </row>
    <row r="11">
      <c r="A11" s="139" t="s">
        <v>103</v>
      </c>
      <c r="B11" s="75" t="s">
        <v>2322</v>
      </c>
      <c r="C11" s="242">
        <v>5767.38</v>
      </c>
      <c r="D11" s="243" t="str">
        <f>HYPERLINK("https://osu.ppy.sh/u/3365349","Kazuki")</f>
        <v>Kazuki</v>
      </c>
      <c r="E11" s="75" t="s">
        <v>28</v>
      </c>
      <c r="F11" s="134">
        <v>800.0</v>
      </c>
      <c r="G11" s="64" t="s">
        <v>29</v>
      </c>
      <c r="H11" s="64" t="s">
        <v>67</v>
      </c>
      <c r="I11" s="64" t="s">
        <v>106</v>
      </c>
      <c r="J11" s="67" t="s">
        <v>32</v>
      </c>
      <c r="K11" s="90">
        <v>1000.0</v>
      </c>
      <c r="L11" s="75" t="s">
        <v>107</v>
      </c>
      <c r="M11" s="75" t="s">
        <v>2323</v>
      </c>
      <c r="N11" s="75" t="s">
        <v>696</v>
      </c>
      <c r="O11" s="57"/>
      <c r="P11" s="146"/>
      <c r="Q11" s="147"/>
      <c r="R11" s="147"/>
      <c r="S11" s="147"/>
      <c r="T11" s="57"/>
      <c r="U11" s="75" t="s">
        <v>2324</v>
      </c>
      <c r="V11" s="75" t="s">
        <v>74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</row>
    <row r="12">
      <c r="A12" s="139" t="s">
        <v>27</v>
      </c>
      <c r="B12" s="57" t="s">
        <v>2325</v>
      </c>
      <c r="C12" s="236">
        <v>5767.05</v>
      </c>
      <c r="D12" s="237" t="str">
        <f>HYPERLINK("https://osu.ppy.sh/u/4697323","Incubus")</f>
        <v>Incubus</v>
      </c>
      <c r="E12" s="57"/>
      <c r="F12" s="145"/>
      <c r="G12" s="57"/>
      <c r="H12" s="57"/>
      <c r="I12" s="57"/>
      <c r="J12" s="57"/>
      <c r="K12" s="115"/>
      <c r="L12" s="57"/>
      <c r="M12" s="57"/>
      <c r="N12" s="57"/>
      <c r="O12" s="57"/>
      <c r="P12" s="146"/>
      <c r="Q12" s="147"/>
      <c r="R12" s="147"/>
      <c r="S12" s="14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</row>
    <row r="13">
      <c r="A13" s="139" t="s">
        <v>118</v>
      </c>
      <c r="B13" s="75" t="s">
        <v>2326</v>
      </c>
      <c r="C13" s="242">
        <v>5759.73</v>
      </c>
      <c r="D13" s="243" t="str">
        <f>HYPERLINK("https://osu.ppy.sh/u/972447","Chaotic Ataraxy")</f>
        <v>Chaotic Ataraxy</v>
      </c>
      <c r="E13" s="75" t="s">
        <v>28</v>
      </c>
      <c r="F13" s="100" t="s">
        <v>77</v>
      </c>
      <c r="G13" s="128" t="s">
        <v>29</v>
      </c>
      <c r="H13" s="128" t="s">
        <v>67</v>
      </c>
      <c r="I13" s="128" t="s">
        <v>754</v>
      </c>
      <c r="J13" s="57"/>
      <c r="K13" s="82" t="s">
        <v>33</v>
      </c>
      <c r="L13" s="57" t="s">
        <v>848</v>
      </c>
      <c r="M13" s="57" t="s">
        <v>288</v>
      </c>
      <c r="N13" s="57" t="s">
        <v>2327</v>
      </c>
      <c r="O13" s="75" t="s">
        <v>109</v>
      </c>
      <c r="P13" s="79">
        <v>85.0</v>
      </c>
      <c r="Q13" s="80">
        <v>117.0</v>
      </c>
      <c r="R13" s="80">
        <v>62.0</v>
      </c>
      <c r="S13" s="80">
        <v>38.0</v>
      </c>
      <c r="T13" s="57" t="s">
        <v>42</v>
      </c>
      <c r="U13" s="57" t="s">
        <v>2328</v>
      </c>
      <c r="V13" s="57" t="s">
        <v>63</v>
      </c>
      <c r="W13" s="57"/>
      <c r="X13" s="57"/>
      <c r="Y13" s="57"/>
      <c r="Z13" s="235">
        <v>43101.0</v>
      </c>
      <c r="AA13" s="57"/>
      <c r="AB13" s="57"/>
      <c r="AC13" s="57"/>
      <c r="AD13" s="57"/>
      <c r="AE13" s="57"/>
      <c r="AF13" s="57"/>
      <c r="AG13" s="57"/>
      <c r="AH13" s="57"/>
    </row>
    <row r="14">
      <c r="A14" s="139" t="s">
        <v>126</v>
      </c>
      <c r="B14" s="75" t="s">
        <v>2329</v>
      </c>
      <c r="C14" s="242">
        <v>5751.04</v>
      </c>
      <c r="D14" s="243" t="str">
        <f>HYPERLINK("https://osu.ppy.sh/u/738653","sX-vKz")</f>
        <v>sX-vKz</v>
      </c>
      <c r="E14" s="75" t="s">
        <v>28</v>
      </c>
      <c r="F14" s="134">
        <v>700.0</v>
      </c>
      <c r="G14" s="64" t="s">
        <v>29</v>
      </c>
      <c r="H14" s="64" t="s">
        <v>67</v>
      </c>
      <c r="I14" s="64" t="s">
        <v>106</v>
      </c>
      <c r="J14" s="67" t="s">
        <v>192</v>
      </c>
      <c r="K14" s="90">
        <v>1000.0</v>
      </c>
      <c r="L14" s="75" t="s">
        <v>807</v>
      </c>
      <c r="M14" s="75" t="s">
        <v>1009</v>
      </c>
      <c r="N14" s="75" t="s">
        <v>61</v>
      </c>
      <c r="O14" s="75" t="s">
        <v>1010</v>
      </c>
      <c r="P14" s="146"/>
      <c r="Q14" s="147"/>
      <c r="R14" s="147"/>
      <c r="S14" s="14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</row>
    <row r="15">
      <c r="A15" s="139" t="s">
        <v>135</v>
      </c>
      <c r="B15" s="75" t="s">
        <v>2330</v>
      </c>
      <c r="C15" s="242">
        <v>5746.59</v>
      </c>
      <c r="D15" s="243" t="str">
        <f>HYPERLINK("https://osu.ppy.sh/u/355152","fumis")</f>
        <v>fumis</v>
      </c>
      <c r="E15" s="75" t="s">
        <v>28</v>
      </c>
      <c r="F15" s="145"/>
      <c r="G15" s="57"/>
      <c r="H15" s="57"/>
      <c r="I15" s="57"/>
      <c r="J15" s="57"/>
      <c r="K15" s="115"/>
      <c r="L15" s="57"/>
      <c r="M15" s="57"/>
      <c r="N15" s="57"/>
      <c r="O15" s="57"/>
      <c r="P15" s="146"/>
      <c r="Q15" s="147"/>
      <c r="R15" s="147"/>
      <c r="S15" s="147"/>
      <c r="T15" s="57"/>
      <c r="U15" s="57"/>
      <c r="V15" s="57"/>
      <c r="W15" s="57"/>
      <c r="X15" s="57"/>
      <c r="Y15" s="57"/>
      <c r="Z15" s="235">
        <v>42795.0</v>
      </c>
      <c r="AA15" s="57"/>
      <c r="AB15" s="57"/>
      <c r="AC15" s="57"/>
      <c r="AD15" s="57"/>
      <c r="AE15" s="57"/>
      <c r="AF15" s="57"/>
      <c r="AG15" s="57"/>
      <c r="AH15" s="57"/>
    </row>
    <row r="16">
      <c r="A16" s="139" t="s">
        <v>143</v>
      </c>
      <c r="B16" s="57" t="s">
        <v>2331</v>
      </c>
      <c r="C16" s="236">
        <v>5736.82</v>
      </c>
      <c r="D16" s="237" t="str">
        <f>HYPERLINK("https://osu.ppy.sh/u/2200080","frozendekay")</f>
        <v>frozendekay</v>
      </c>
      <c r="E16" s="75" t="s">
        <v>28</v>
      </c>
      <c r="F16" s="145"/>
      <c r="G16" s="57"/>
      <c r="H16" s="57"/>
      <c r="I16" s="57"/>
      <c r="J16" s="57"/>
      <c r="K16" s="115"/>
      <c r="L16" s="57"/>
      <c r="M16" s="57"/>
      <c r="N16" s="57"/>
      <c r="O16" s="57"/>
      <c r="P16" s="146"/>
      <c r="Q16" s="147"/>
      <c r="R16" s="147"/>
      <c r="S16" s="14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>
      <c r="A17" s="139" t="s">
        <v>155</v>
      </c>
      <c r="B17" s="75" t="s">
        <v>2332</v>
      </c>
      <c r="C17" s="242">
        <v>5728.01</v>
      </c>
      <c r="D17" s="243" t="str">
        <f>HYPERLINK("https://osu.ppy.sh/u/3395820","Moltenfury")</f>
        <v>Moltenfury</v>
      </c>
      <c r="E17" s="75" t="s">
        <v>28</v>
      </c>
      <c r="F17" s="145"/>
      <c r="G17" s="57"/>
      <c r="H17" s="57"/>
      <c r="I17" s="57"/>
      <c r="J17" s="57"/>
      <c r="K17" s="115"/>
      <c r="L17" s="57"/>
      <c r="M17" s="57"/>
      <c r="N17" s="57"/>
      <c r="O17" s="57"/>
      <c r="P17" s="146"/>
      <c r="Q17" s="147"/>
      <c r="R17" s="147"/>
      <c r="S17" s="14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</row>
    <row r="18">
      <c r="A18" s="139" t="s">
        <v>162</v>
      </c>
      <c r="B18" s="57" t="s">
        <v>2333</v>
      </c>
      <c r="C18" s="236">
        <v>5726.15</v>
      </c>
      <c r="D18" s="237" t="str">
        <f>HYPERLINK("https://osu.ppy.sh/u/1604056","Melodia")</f>
        <v>Melodia</v>
      </c>
      <c r="E18" s="173" t="s">
        <v>571</v>
      </c>
      <c r="F18" s="244">
        <v>1000.0</v>
      </c>
      <c r="G18" s="169" t="s">
        <v>1571</v>
      </c>
      <c r="H18" s="169" t="s">
        <v>620</v>
      </c>
      <c r="I18" s="169" t="s">
        <v>2334</v>
      </c>
      <c r="J18" s="170" t="s">
        <v>32</v>
      </c>
      <c r="K18" s="245">
        <v>1000.0</v>
      </c>
      <c r="L18" s="173" t="s">
        <v>243</v>
      </c>
      <c r="M18" s="173" t="s">
        <v>130</v>
      </c>
      <c r="N18" s="173" t="s">
        <v>179</v>
      </c>
      <c r="O18" s="57" t="s">
        <v>70</v>
      </c>
      <c r="P18" s="50" t="s">
        <v>132</v>
      </c>
      <c r="Q18" s="51">
        <v>124.0</v>
      </c>
      <c r="R18" s="51">
        <v>68.0</v>
      </c>
      <c r="S18" s="51">
        <v>43.0</v>
      </c>
      <c r="T18" s="75" t="s">
        <v>42</v>
      </c>
      <c r="U18" s="246" t="s">
        <v>62</v>
      </c>
      <c r="V18" s="246" t="s">
        <v>63</v>
      </c>
      <c r="W18" s="57"/>
      <c r="X18" s="57"/>
      <c r="Y18" s="57"/>
      <c r="Z18" s="235">
        <v>43009.0</v>
      </c>
      <c r="AA18" s="57"/>
      <c r="AB18" s="57"/>
      <c r="AC18" s="57"/>
      <c r="AD18" s="57"/>
      <c r="AE18" s="57"/>
      <c r="AF18" s="57"/>
      <c r="AG18" s="57"/>
      <c r="AH18" s="57"/>
    </row>
    <row r="19">
      <c r="A19" s="139" t="s">
        <v>169</v>
      </c>
      <c r="B19" s="75" t="s">
        <v>2335</v>
      </c>
      <c r="C19" s="242">
        <v>5725.94</v>
      </c>
      <c r="D19" s="243" t="str">
        <f>HYPERLINK("https://osu.ppy.sh/u/2226083","arronchu1207")</f>
        <v>arronchu1207</v>
      </c>
      <c r="E19" s="75" t="s">
        <v>571</v>
      </c>
      <c r="F19" s="145"/>
      <c r="G19" s="57"/>
      <c r="H19" s="57"/>
      <c r="I19" s="57"/>
      <c r="J19" s="57"/>
      <c r="K19" s="115"/>
      <c r="L19" s="57"/>
      <c r="M19" s="57"/>
      <c r="N19" s="57"/>
      <c r="O19" s="57"/>
      <c r="P19" s="146"/>
      <c r="Q19" s="147"/>
      <c r="R19" s="147"/>
      <c r="S19" s="14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</row>
    <row r="20">
      <c r="A20" s="139" t="s">
        <v>177</v>
      </c>
      <c r="B20" s="57" t="s">
        <v>2336</v>
      </c>
      <c r="C20" s="236">
        <v>5725.08</v>
      </c>
      <c r="D20" s="237" t="str">
        <f>HYPERLINK("https://osu.ppy.sh/u/8766404","Novazx")</f>
        <v>Novazx</v>
      </c>
      <c r="E20" s="75" t="s">
        <v>28</v>
      </c>
      <c r="F20" s="145"/>
      <c r="G20" s="57"/>
      <c r="H20" s="57"/>
      <c r="I20" s="57"/>
      <c r="J20" s="57"/>
      <c r="K20" s="115"/>
      <c r="L20" s="57"/>
      <c r="M20" s="57"/>
      <c r="N20" s="57"/>
      <c r="O20" s="57"/>
      <c r="P20" s="146"/>
      <c r="Q20" s="147"/>
      <c r="R20" s="147"/>
      <c r="S20" s="14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</row>
    <row r="21">
      <c r="A21" s="139" t="s">
        <v>181</v>
      </c>
      <c r="B21" s="75" t="s">
        <v>2337</v>
      </c>
      <c r="C21" s="242">
        <v>5724.89</v>
      </c>
      <c r="D21" s="243" t="str">
        <f>HYPERLINK("https://osu.ppy.sh/u/1732810","Hopran")</f>
        <v>Hopran</v>
      </c>
      <c r="E21" s="75" t="s">
        <v>28</v>
      </c>
      <c r="F21" s="145"/>
      <c r="G21" s="57"/>
      <c r="H21" s="57"/>
      <c r="I21" s="57"/>
      <c r="J21" s="57"/>
      <c r="K21" s="115"/>
      <c r="L21" s="57"/>
      <c r="M21" s="57"/>
      <c r="N21" s="57"/>
      <c r="O21" s="57"/>
      <c r="P21" s="146"/>
      <c r="Q21" s="147"/>
      <c r="R21" s="147"/>
      <c r="S21" s="14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</row>
    <row r="22">
      <c r="A22" s="139" t="s">
        <v>189</v>
      </c>
      <c r="B22" s="57" t="s">
        <v>2338</v>
      </c>
      <c r="C22" s="236">
        <v>5713.35</v>
      </c>
      <c r="D22" s="237" t="str">
        <f>HYPERLINK("https://osu.ppy.sh/u/4126696","Ugi")</f>
        <v>Ugi</v>
      </c>
      <c r="E22" s="75" t="s">
        <v>28</v>
      </c>
      <c r="F22" s="100" t="s">
        <v>105</v>
      </c>
      <c r="G22" s="128" t="s">
        <v>29</v>
      </c>
      <c r="H22" s="128" t="s">
        <v>67</v>
      </c>
      <c r="I22" s="128" t="s">
        <v>31</v>
      </c>
      <c r="J22" s="129" t="s">
        <v>32</v>
      </c>
      <c r="K22" s="115"/>
      <c r="L22" s="57" t="s">
        <v>222</v>
      </c>
      <c r="M22" s="57" t="s">
        <v>2339</v>
      </c>
      <c r="N22" s="57" t="s">
        <v>116</v>
      </c>
      <c r="O22" s="57"/>
      <c r="P22" s="146"/>
      <c r="Q22" s="147"/>
      <c r="R22" s="147"/>
      <c r="S22" s="147"/>
      <c r="T22" s="57"/>
      <c r="U22" s="57" t="s">
        <v>977</v>
      </c>
      <c r="V22" s="57" t="s">
        <v>44</v>
      </c>
      <c r="W22" s="57"/>
      <c r="X22" s="57"/>
      <c r="Y22" s="57"/>
      <c r="Z22" s="235">
        <v>43282.0</v>
      </c>
      <c r="AA22" s="57"/>
      <c r="AB22" s="57"/>
      <c r="AC22" s="57"/>
      <c r="AD22" s="57"/>
      <c r="AE22" s="57"/>
      <c r="AF22" s="57"/>
      <c r="AG22" s="57"/>
      <c r="AH22" s="57"/>
    </row>
    <row r="23">
      <c r="A23" s="139" t="s">
        <v>197</v>
      </c>
      <c r="B23" s="57" t="s">
        <v>2340</v>
      </c>
      <c r="C23" s="236">
        <v>5708.01</v>
      </c>
      <c r="D23" s="237" t="str">
        <f>HYPERLINK("https://osu.ppy.sh/u/4436687","David-")</f>
        <v>David-</v>
      </c>
      <c r="E23" s="75" t="s">
        <v>28</v>
      </c>
      <c r="F23" s="145"/>
      <c r="G23" s="57"/>
      <c r="H23" s="57"/>
      <c r="I23" s="57"/>
      <c r="J23" s="57"/>
      <c r="K23" s="115"/>
      <c r="L23" s="57"/>
      <c r="M23" s="57"/>
      <c r="N23" s="57"/>
      <c r="O23" s="57"/>
      <c r="P23" s="146"/>
      <c r="Q23" s="147"/>
      <c r="R23" s="147"/>
      <c r="S23" s="147"/>
      <c r="T23" s="57"/>
      <c r="U23" s="57"/>
      <c r="V23" s="57"/>
      <c r="W23" s="57"/>
      <c r="X23" s="57"/>
      <c r="Y23" s="57"/>
      <c r="Z23" s="148"/>
      <c r="AA23" s="57"/>
      <c r="AB23" s="57"/>
      <c r="AC23" s="57"/>
      <c r="AD23" s="57"/>
      <c r="AE23" s="57"/>
      <c r="AF23" s="57"/>
      <c r="AG23" s="57"/>
      <c r="AH23" s="57"/>
    </row>
    <row r="24">
      <c r="A24" s="139" t="s">
        <v>204</v>
      </c>
      <c r="B24" s="57" t="s">
        <v>2341</v>
      </c>
      <c r="C24" s="236">
        <v>5706.55</v>
      </c>
      <c r="D24" s="237" t="str">
        <f>HYPERLINK("https://osu.ppy.sh/u/5316975","Halcryo")</f>
        <v>Halcryo</v>
      </c>
      <c r="E24" s="75" t="s">
        <v>28</v>
      </c>
      <c r="F24" s="145"/>
      <c r="G24" s="57"/>
      <c r="H24" s="57"/>
      <c r="I24" s="57"/>
      <c r="J24" s="57"/>
      <c r="K24" s="115"/>
      <c r="L24" s="57"/>
      <c r="M24" s="57"/>
      <c r="N24" s="57"/>
      <c r="O24" s="57"/>
      <c r="P24" s="146"/>
      <c r="Q24" s="147"/>
      <c r="R24" s="147"/>
      <c r="S24" s="14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</row>
    <row r="25">
      <c r="A25" s="139" t="s">
        <v>210</v>
      </c>
      <c r="B25" s="75" t="s">
        <v>2342</v>
      </c>
      <c r="C25" s="242">
        <v>5689.51</v>
      </c>
      <c r="D25" s="243" t="str">
        <f>HYPERLINK("https://osu.ppy.sh/u/4382428","sunbob")</f>
        <v>sunbob</v>
      </c>
      <c r="E25" s="75" t="s">
        <v>28</v>
      </c>
      <c r="F25" s="100" t="s">
        <v>112</v>
      </c>
      <c r="G25" s="128" t="s">
        <v>29</v>
      </c>
      <c r="H25" s="128" t="s">
        <v>67</v>
      </c>
      <c r="I25" s="128" t="s">
        <v>31</v>
      </c>
      <c r="J25" s="129" t="s">
        <v>32</v>
      </c>
      <c r="K25" s="82" t="s">
        <v>81</v>
      </c>
      <c r="L25" s="57" t="s">
        <v>129</v>
      </c>
      <c r="M25" s="57" t="s">
        <v>199</v>
      </c>
      <c r="N25" s="75" t="s">
        <v>61</v>
      </c>
      <c r="O25" s="75" t="s">
        <v>201</v>
      </c>
      <c r="P25" s="50">
        <v>103.0</v>
      </c>
      <c r="Q25" s="51">
        <v>136.0</v>
      </c>
      <c r="R25" s="51">
        <v>72.0</v>
      </c>
      <c r="S25" s="51">
        <v>41.0</v>
      </c>
      <c r="T25" s="75" t="s">
        <v>42</v>
      </c>
      <c r="U25" s="57" t="s">
        <v>117</v>
      </c>
      <c r="V25" s="57" t="s">
        <v>74</v>
      </c>
      <c r="W25" s="57"/>
      <c r="X25" s="57"/>
      <c r="Y25" s="57"/>
      <c r="Z25" s="235">
        <v>43070.0</v>
      </c>
      <c r="AA25" s="57"/>
      <c r="AB25" s="57"/>
      <c r="AC25" s="57"/>
      <c r="AD25" s="57"/>
      <c r="AE25" s="57"/>
      <c r="AF25" s="57"/>
      <c r="AG25" s="57"/>
      <c r="AH25" s="57"/>
    </row>
    <row r="26">
      <c r="A26" s="139" t="s">
        <v>220</v>
      </c>
      <c r="B26" s="57" t="s">
        <v>2343</v>
      </c>
      <c r="C26" s="236">
        <v>5687.59</v>
      </c>
      <c r="D26" s="237" t="str">
        <f>HYPERLINK("https://osu.ppy.sh/u/6614359","Aiven")</f>
        <v>Aiven</v>
      </c>
      <c r="E26" s="75" t="s">
        <v>28</v>
      </c>
      <c r="F26" s="100">
        <v>1000.0</v>
      </c>
      <c r="G26" s="128" t="s">
        <v>29</v>
      </c>
      <c r="H26" s="128" t="s">
        <v>67</v>
      </c>
      <c r="I26" s="128" t="s">
        <v>31</v>
      </c>
      <c r="J26" s="129" t="s">
        <v>32</v>
      </c>
      <c r="K26" s="82">
        <v>1000.0</v>
      </c>
      <c r="L26" s="57" t="s">
        <v>417</v>
      </c>
      <c r="M26" s="57" t="s">
        <v>1548</v>
      </c>
      <c r="N26" s="57" t="s">
        <v>179</v>
      </c>
      <c r="O26" s="247" t="s">
        <v>2344</v>
      </c>
      <c r="P26" s="79">
        <v>90.0</v>
      </c>
      <c r="Q26" s="80">
        <v>120.0</v>
      </c>
      <c r="R26" s="80">
        <v>68.0</v>
      </c>
      <c r="S26" s="80">
        <v>37.0</v>
      </c>
      <c r="T26" s="57"/>
      <c r="U26" s="57" t="s">
        <v>1181</v>
      </c>
      <c r="V26" s="57" t="s">
        <v>74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</row>
    <row r="27">
      <c r="A27" s="139" t="s">
        <v>226</v>
      </c>
      <c r="B27" s="57" t="s">
        <v>2345</v>
      </c>
      <c r="C27" s="236">
        <v>5677.08</v>
      </c>
      <c r="D27" s="237" t="str">
        <f>HYPERLINK("https://osu.ppy.sh/u/3845031","Lexiiii")</f>
        <v>Lexiiii</v>
      </c>
      <c r="E27" s="75" t="s">
        <v>28</v>
      </c>
      <c r="F27" s="100" t="s">
        <v>2346</v>
      </c>
      <c r="G27" s="128" t="s">
        <v>29</v>
      </c>
      <c r="H27" s="128" t="s">
        <v>67</v>
      </c>
      <c r="I27" s="128" t="s">
        <v>31</v>
      </c>
      <c r="J27" s="129" t="s">
        <v>32</v>
      </c>
      <c r="K27" s="82" t="s">
        <v>81</v>
      </c>
      <c r="L27" s="57"/>
      <c r="M27" s="57" t="s">
        <v>473</v>
      </c>
      <c r="N27" s="57" t="s">
        <v>61</v>
      </c>
      <c r="O27" s="57"/>
      <c r="P27" s="146"/>
      <c r="Q27" s="147"/>
      <c r="R27" s="147"/>
      <c r="S27" s="147"/>
      <c r="T27" s="57"/>
      <c r="U27" s="57" t="s">
        <v>2347</v>
      </c>
      <c r="V27" s="57" t="s">
        <v>2348</v>
      </c>
      <c r="W27" s="57"/>
      <c r="X27" s="57"/>
      <c r="Y27" s="57"/>
      <c r="Z27" s="148"/>
      <c r="AA27" s="57"/>
      <c r="AB27" s="57"/>
      <c r="AC27" s="57"/>
      <c r="AD27" s="57"/>
      <c r="AE27" s="57"/>
      <c r="AF27" s="57"/>
      <c r="AG27" s="57"/>
      <c r="AH27" s="57"/>
    </row>
    <row r="28">
      <c r="A28" s="139" t="s">
        <v>234</v>
      </c>
      <c r="B28" s="57" t="s">
        <v>2349</v>
      </c>
      <c r="C28" s="236">
        <v>5675.36</v>
      </c>
      <c r="D28" s="237" t="str">
        <f>HYPERLINK("https://osu.ppy.sh/u/7328199","HSon")</f>
        <v>HSon</v>
      </c>
      <c r="E28" s="75" t="s">
        <v>28</v>
      </c>
      <c r="F28" s="145"/>
      <c r="G28" s="57"/>
      <c r="H28" s="57"/>
      <c r="I28" s="57"/>
      <c r="J28" s="57"/>
      <c r="K28" s="115"/>
      <c r="L28" s="57"/>
      <c r="M28" s="57"/>
      <c r="N28" s="57"/>
      <c r="O28" s="57"/>
      <c r="P28" s="146"/>
      <c r="Q28" s="147"/>
      <c r="R28" s="147"/>
      <c r="S28" s="147"/>
      <c r="T28" s="57"/>
      <c r="U28" s="57"/>
      <c r="V28" s="57"/>
      <c r="W28" s="57"/>
      <c r="X28" s="57"/>
      <c r="Y28" s="57"/>
      <c r="Z28" s="235">
        <v>42795.0</v>
      </c>
      <c r="AA28" s="57"/>
      <c r="AB28" s="57"/>
      <c r="AC28" s="57"/>
      <c r="AD28" s="57"/>
      <c r="AE28" s="57"/>
      <c r="AF28" s="57"/>
      <c r="AG28" s="57"/>
      <c r="AH28" s="57"/>
    </row>
    <row r="29">
      <c r="A29" s="139" t="s">
        <v>46</v>
      </c>
      <c r="B29" s="57" t="s">
        <v>2350</v>
      </c>
      <c r="C29" s="236">
        <v>5673.09</v>
      </c>
      <c r="D29" s="237" t="str">
        <f>HYPERLINK("https://osu.ppy.sh/u/267776","SmiLe999")</f>
        <v>SmiLe999</v>
      </c>
      <c r="E29" s="75" t="s">
        <v>28</v>
      </c>
      <c r="F29" s="145"/>
      <c r="G29" s="57"/>
      <c r="H29" s="57"/>
      <c r="I29" s="57"/>
      <c r="J29" s="57"/>
      <c r="K29" s="115"/>
      <c r="L29" s="57"/>
      <c r="M29" s="57"/>
      <c r="N29" s="57"/>
      <c r="O29" s="57"/>
      <c r="P29" s="146"/>
      <c r="Q29" s="147"/>
      <c r="R29" s="147"/>
      <c r="S29" s="147"/>
      <c r="T29" s="57"/>
      <c r="U29" s="57"/>
      <c r="V29" s="57"/>
      <c r="W29" s="57"/>
      <c r="X29" s="57"/>
      <c r="Y29" s="57"/>
      <c r="Z29" s="148"/>
      <c r="AA29" s="57"/>
      <c r="AB29" s="57"/>
      <c r="AC29" s="57"/>
      <c r="AD29" s="57"/>
      <c r="AE29" s="57"/>
      <c r="AF29" s="57"/>
      <c r="AG29" s="57"/>
      <c r="AH29" s="57"/>
    </row>
    <row r="30">
      <c r="A30" s="139" t="s">
        <v>245</v>
      </c>
      <c r="B30" s="75" t="s">
        <v>2351</v>
      </c>
      <c r="C30" s="242">
        <v>5668.82</v>
      </c>
      <c r="D30" s="243" t="str">
        <f>HYPERLINK("https://osu.ppy.sh/u/4912999","PrinceYolo")</f>
        <v>PrinceYolo</v>
      </c>
      <c r="E30" s="57" t="s">
        <v>28</v>
      </c>
      <c r="F30" s="100">
        <v>1600.0</v>
      </c>
      <c r="G30" s="128" t="s">
        <v>29</v>
      </c>
      <c r="H30" s="128" t="s">
        <v>67</v>
      </c>
      <c r="I30" s="128" t="s">
        <v>31</v>
      </c>
      <c r="J30" s="129" t="s">
        <v>32</v>
      </c>
      <c r="K30" s="82">
        <v>1000.0</v>
      </c>
      <c r="L30" s="57" t="s">
        <v>207</v>
      </c>
      <c r="M30" s="57" t="s">
        <v>2352</v>
      </c>
      <c r="N30" s="57" t="s">
        <v>2353</v>
      </c>
      <c r="O30" s="75" t="s">
        <v>496</v>
      </c>
      <c r="P30" s="146"/>
      <c r="Q30" s="147"/>
      <c r="R30" s="147"/>
      <c r="S30" s="147"/>
      <c r="T30" s="57"/>
      <c r="U30" s="57" t="s">
        <v>333</v>
      </c>
      <c r="V30" s="57" t="s">
        <v>203</v>
      </c>
      <c r="W30" s="57"/>
      <c r="X30" s="57"/>
      <c r="Y30" s="57"/>
      <c r="Z30" s="235">
        <v>42795.0</v>
      </c>
      <c r="AA30" s="57"/>
      <c r="AB30" s="57"/>
      <c r="AC30" s="57"/>
      <c r="AD30" s="57"/>
      <c r="AE30" s="57"/>
      <c r="AF30" s="57"/>
      <c r="AG30" s="57"/>
      <c r="AH30" s="57"/>
    </row>
    <row r="31">
      <c r="A31" s="139" t="s">
        <v>253</v>
      </c>
      <c r="B31" s="57" t="s">
        <v>2354</v>
      </c>
      <c r="C31" s="236">
        <v>5668.74</v>
      </c>
      <c r="D31" s="237" t="str">
        <f>HYPERLINK("https://osu.ppy.sh/u/2238652","Camellia-")</f>
        <v>Camellia-</v>
      </c>
      <c r="E31" s="75" t="s">
        <v>28</v>
      </c>
      <c r="F31" s="145"/>
      <c r="G31" s="57"/>
      <c r="H31" s="57"/>
      <c r="I31" s="57"/>
      <c r="J31" s="57"/>
      <c r="K31" s="115"/>
      <c r="L31" s="57"/>
      <c r="M31" s="57"/>
      <c r="N31" s="57"/>
      <c r="O31" s="57"/>
      <c r="P31" s="146"/>
      <c r="Q31" s="147"/>
      <c r="R31" s="147"/>
      <c r="S31" s="14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>
      <c r="A32" s="139" t="s">
        <v>57</v>
      </c>
      <c r="B32" s="75" t="s">
        <v>2355</v>
      </c>
      <c r="C32" s="242">
        <v>5664.11</v>
      </c>
      <c r="D32" s="243" t="str">
        <f>HYPERLINK("https://osu.ppy.sh/u/5039710","Doomsdaddy")</f>
        <v>Doomsdaddy</v>
      </c>
      <c r="E32" s="57" t="s">
        <v>28</v>
      </c>
      <c r="F32" s="100" t="s">
        <v>77</v>
      </c>
      <c r="G32" s="128" t="s">
        <v>29</v>
      </c>
      <c r="H32" s="128" t="s">
        <v>67</v>
      </c>
      <c r="I32" s="128" t="s">
        <v>31</v>
      </c>
      <c r="J32" s="57"/>
      <c r="K32" s="82" t="s">
        <v>33</v>
      </c>
      <c r="L32" s="57" t="s">
        <v>417</v>
      </c>
      <c r="M32" s="57" t="s">
        <v>238</v>
      </c>
      <c r="N32" s="57" t="s">
        <v>61</v>
      </c>
      <c r="O32" s="75" t="s">
        <v>70</v>
      </c>
      <c r="P32" s="50">
        <v>126.0</v>
      </c>
      <c r="Q32" s="51">
        <v>128.0</v>
      </c>
      <c r="R32" s="51">
        <v>76.0</v>
      </c>
      <c r="S32" s="51">
        <v>42.0</v>
      </c>
      <c r="T32" s="75" t="s">
        <v>42</v>
      </c>
      <c r="U32" s="238" t="s">
        <v>117</v>
      </c>
      <c r="V32" s="238" t="s">
        <v>74</v>
      </c>
      <c r="W32" s="57"/>
      <c r="X32" s="57"/>
      <c r="Y32" s="57"/>
      <c r="Z32" s="235">
        <v>43040.0</v>
      </c>
      <c r="AA32" s="57"/>
      <c r="AB32" s="57"/>
      <c r="AC32" s="57"/>
      <c r="AD32" s="57"/>
      <c r="AE32" s="57"/>
      <c r="AF32" s="57"/>
      <c r="AG32" s="57"/>
      <c r="AH32" s="57"/>
    </row>
    <row r="33">
      <c r="A33" s="139" t="s">
        <v>265</v>
      </c>
      <c r="B33" s="75" t="s">
        <v>2356</v>
      </c>
      <c r="C33" s="242">
        <v>5663.77</v>
      </c>
      <c r="D33" s="243" t="str">
        <f>HYPERLINK("https://osu.ppy.sh/u/1567646","The_badin")</f>
        <v>The_badin</v>
      </c>
      <c r="E33" s="75" t="s">
        <v>571</v>
      </c>
      <c r="F33" s="134">
        <v>650.0</v>
      </c>
      <c r="G33" s="64" t="s">
        <v>29</v>
      </c>
      <c r="H33" s="64" t="s">
        <v>310</v>
      </c>
      <c r="I33" s="64" t="s">
        <v>106</v>
      </c>
      <c r="J33" s="67" t="s">
        <v>32</v>
      </c>
      <c r="K33" s="115"/>
      <c r="L33" s="75" t="s">
        <v>2357</v>
      </c>
      <c r="M33" s="75" t="s">
        <v>2358</v>
      </c>
      <c r="N33" s="57"/>
      <c r="O33" s="57"/>
      <c r="P33" s="146"/>
      <c r="Q33" s="147"/>
      <c r="R33" s="147"/>
      <c r="S33" s="14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>
      <c r="A34" s="139" t="s">
        <v>270</v>
      </c>
      <c r="B34" s="75" t="s">
        <v>2359</v>
      </c>
      <c r="C34" s="242">
        <v>5650.11</v>
      </c>
      <c r="D34" s="243" t="str">
        <f>HYPERLINK("https://osu.ppy.sh/u/8070163","Sguazzz")</f>
        <v>Sguazzz</v>
      </c>
      <c r="E34" s="75" t="s">
        <v>28</v>
      </c>
      <c r="F34" s="145"/>
      <c r="G34" s="57"/>
      <c r="H34" s="57"/>
      <c r="I34" s="57"/>
      <c r="J34" s="57"/>
      <c r="K34" s="115"/>
      <c r="L34" s="57"/>
      <c r="M34" s="57"/>
      <c r="N34" s="57"/>
      <c r="O34" s="57"/>
      <c r="P34" s="146"/>
      <c r="Q34" s="147"/>
      <c r="R34" s="147"/>
      <c r="S34" s="14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>
      <c r="A35" s="139" t="s">
        <v>275</v>
      </c>
      <c r="B35" s="248" t="s">
        <v>423</v>
      </c>
      <c r="C35" s="249">
        <v>5649.97</v>
      </c>
      <c r="D35" s="250" t="str">
        <f>HYPERLINK("https://osu.ppy.sh/u/6924125","Clueless Man")</f>
        <v>Clueless Man</v>
      </c>
      <c r="E35" s="75" t="s">
        <v>28</v>
      </c>
      <c r="F35" s="145"/>
      <c r="G35" s="57"/>
      <c r="H35" s="57"/>
      <c r="I35" s="57"/>
      <c r="J35" s="57"/>
      <c r="K35" s="115"/>
      <c r="L35" s="57"/>
      <c r="M35" s="57"/>
      <c r="N35" s="57"/>
      <c r="O35" s="57"/>
      <c r="P35" s="146"/>
      <c r="Q35" s="147"/>
      <c r="R35" s="147"/>
      <c r="S35" s="14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>
      <c r="A36" s="139" t="s">
        <v>65</v>
      </c>
      <c r="B36" s="75" t="s">
        <v>2360</v>
      </c>
      <c r="C36" s="242">
        <v>5647.37</v>
      </c>
      <c r="D36" s="243" t="str">
        <f>HYPERLINK("https://osu.ppy.sh/u/870584","Mirage")</f>
        <v>Mirage</v>
      </c>
      <c r="E36" s="75" t="s">
        <v>28</v>
      </c>
      <c r="F36" s="145"/>
      <c r="G36" s="57"/>
      <c r="H36" s="57"/>
      <c r="I36" s="57"/>
      <c r="J36" s="57"/>
      <c r="K36" s="115"/>
      <c r="L36" s="57"/>
      <c r="M36" s="57"/>
      <c r="N36" s="57"/>
      <c r="O36" s="57"/>
      <c r="P36" s="146"/>
      <c r="Q36" s="147"/>
      <c r="R36" s="147"/>
      <c r="S36" s="14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>
      <c r="A37" s="139" t="s">
        <v>76</v>
      </c>
      <c r="B37" s="75" t="s">
        <v>2361</v>
      </c>
      <c r="C37" s="242">
        <v>5640.41</v>
      </c>
      <c r="D37" s="243" t="str">
        <f>HYPERLINK("https://osu.ppy.sh/u/8452741","MaverickTex")</f>
        <v>MaverickTex</v>
      </c>
      <c r="E37" s="57" t="s">
        <v>28</v>
      </c>
      <c r="F37" s="100">
        <v>1200.0</v>
      </c>
      <c r="G37" s="128" t="s">
        <v>29</v>
      </c>
      <c r="H37" s="128" t="s">
        <v>1515</v>
      </c>
      <c r="I37" s="128" t="s">
        <v>31</v>
      </c>
      <c r="J37" s="129" t="s">
        <v>32</v>
      </c>
      <c r="K37" s="82">
        <v>500.0</v>
      </c>
      <c r="L37" s="57" t="s">
        <v>1371</v>
      </c>
      <c r="M37" s="57" t="s">
        <v>2362</v>
      </c>
      <c r="N37" s="57" t="s">
        <v>174</v>
      </c>
      <c r="O37" s="57"/>
      <c r="P37" s="146"/>
      <c r="Q37" s="147"/>
      <c r="R37" s="147"/>
      <c r="S37" s="147"/>
      <c r="T37" s="57"/>
      <c r="U37" s="57" t="s">
        <v>1244</v>
      </c>
      <c r="V37" s="57" t="s">
        <v>63</v>
      </c>
      <c r="W37" s="57"/>
      <c r="X37" s="57"/>
      <c r="Y37" s="57"/>
      <c r="Z37" s="235">
        <v>43009.0</v>
      </c>
      <c r="AA37" s="57"/>
      <c r="AB37" s="57"/>
      <c r="AC37" s="57"/>
      <c r="AD37" s="57"/>
      <c r="AE37" s="57"/>
      <c r="AF37" s="57"/>
      <c r="AG37" s="57"/>
      <c r="AH37" s="57"/>
    </row>
    <row r="38">
      <c r="A38" s="139" t="s">
        <v>284</v>
      </c>
      <c r="B38" s="57" t="s">
        <v>2363</v>
      </c>
      <c r="C38" s="236">
        <v>5630.89</v>
      </c>
      <c r="D38" s="237" t="str">
        <f>HYPERLINK("https://osu.ppy.sh/u/4046893","CarryTheDay-")</f>
        <v>CarryTheDay-</v>
      </c>
      <c r="E38" s="75" t="s">
        <v>28</v>
      </c>
      <c r="F38" s="145"/>
      <c r="G38" s="57"/>
      <c r="H38" s="57"/>
      <c r="I38" s="57"/>
      <c r="J38" s="57"/>
      <c r="K38" s="115"/>
      <c r="L38" s="57"/>
      <c r="M38" s="57"/>
      <c r="N38" s="57"/>
      <c r="O38" s="57"/>
      <c r="P38" s="146"/>
      <c r="Q38" s="147"/>
      <c r="R38" s="147"/>
      <c r="S38" s="14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>
      <c r="A39" s="139" t="s">
        <v>290</v>
      </c>
      <c r="B39" s="75" t="s">
        <v>2364</v>
      </c>
      <c r="C39" s="242">
        <v>5629.38</v>
      </c>
      <c r="D39" s="243" t="str">
        <f>HYPERLINK("https://osu.ppy.sh/u/6683822","Hatsune Kano")</f>
        <v>Hatsune Kano</v>
      </c>
      <c r="E39" s="75" t="s">
        <v>28</v>
      </c>
      <c r="F39" s="100" t="s">
        <v>813</v>
      </c>
      <c r="G39" s="128" t="s">
        <v>29</v>
      </c>
      <c r="H39" s="128" t="s">
        <v>67</v>
      </c>
      <c r="I39" s="128" t="s">
        <v>31</v>
      </c>
      <c r="J39" s="129" t="s">
        <v>32</v>
      </c>
      <c r="K39" s="82" t="s">
        <v>81</v>
      </c>
      <c r="L39" s="57" t="s">
        <v>341</v>
      </c>
      <c r="M39" s="57" t="s">
        <v>288</v>
      </c>
      <c r="N39" s="57" t="s">
        <v>174</v>
      </c>
      <c r="O39" s="75" t="s">
        <v>109</v>
      </c>
      <c r="P39" s="79">
        <v>85.0</v>
      </c>
      <c r="Q39" s="80">
        <v>117.0</v>
      </c>
      <c r="R39" s="80">
        <v>62.0</v>
      </c>
      <c r="S39" s="80">
        <v>38.0</v>
      </c>
      <c r="T39" s="57" t="s">
        <v>42</v>
      </c>
      <c r="U39" s="57" t="s">
        <v>1961</v>
      </c>
      <c r="V39" s="57" t="s">
        <v>74</v>
      </c>
      <c r="W39" s="57"/>
      <c r="X39" s="57"/>
      <c r="Y39" s="57"/>
      <c r="Z39" s="235">
        <v>43282.0</v>
      </c>
      <c r="AA39" s="57"/>
      <c r="AB39" s="57"/>
      <c r="AC39" s="57"/>
      <c r="AD39" s="57"/>
      <c r="AE39" s="57"/>
      <c r="AF39" s="57"/>
      <c r="AG39" s="57"/>
      <c r="AH39" s="57"/>
    </row>
    <row r="40">
      <c r="A40" s="139" t="s">
        <v>297</v>
      </c>
      <c r="B40" s="248" t="s">
        <v>423</v>
      </c>
      <c r="C40" s="249">
        <v>5626.79</v>
      </c>
      <c r="D40" s="250" t="str">
        <f>HYPERLINK("https://osu.ppy.sh/u/1393642","bes_joker")</f>
        <v>bes_joker</v>
      </c>
      <c r="E40" s="75" t="s">
        <v>699</v>
      </c>
      <c r="F40" s="134">
        <v>3500.0</v>
      </c>
      <c r="G40" s="64" t="s">
        <v>1018</v>
      </c>
      <c r="H40" s="57"/>
      <c r="I40" s="57"/>
      <c r="J40" s="67" t="s">
        <v>1585</v>
      </c>
      <c r="K40" s="90">
        <v>1000.0</v>
      </c>
      <c r="L40" s="57"/>
      <c r="M40" s="75" t="s">
        <v>2365</v>
      </c>
      <c r="N40" s="75" t="s">
        <v>1104</v>
      </c>
      <c r="O40" s="75" t="s">
        <v>314</v>
      </c>
      <c r="P40" s="146"/>
      <c r="Q40" s="147"/>
      <c r="R40" s="147"/>
      <c r="S40" s="14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>
      <c r="A41" s="139" t="s">
        <v>91</v>
      </c>
      <c r="B41" s="57" t="s">
        <v>2366</v>
      </c>
      <c r="C41" s="236">
        <v>5624.15</v>
      </c>
      <c r="D41" s="237" t="str">
        <f>HYPERLINK("https://osu.ppy.sh/u/6724164","Michishige")</f>
        <v>Michishige</v>
      </c>
      <c r="E41" s="75" t="s">
        <v>28</v>
      </c>
      <c r="F41" s="145"/>
      <c r="G41" s="57"/>
      <c r="H41" s="57"/>
      <c r="I41" s="57"/>
      <c r="J41" s="57"/>
      <c r="K41" s="115"/>
      <c r="L41" s="57"/>
      <c r="M41" s="57"/>
      <c r="N41" s="57"/>
      <c r="O41" s="57"/>
      <c r="P41" s="146"/>
      <c r="Q41" s="147"/>
      <c r="R41" s="147"/>
      <c r="S41" s="14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</row>
    <row r="42">
      <c r="A42" s="139" t="s">
        <v>308</v>
      </c>
      <c r="B42" s="57" t="s">
        <v>2367</v>
      </c>
      <c r="C42" s="236">
        <v>5617.56</v>
      </c>
      <c r="D42" s="237" t="str">
        <f>HYPERLINK("https://osu.ppy.sh/u/2832092","Aknano")</f>
        <v>Aknano</v>
      </c>
      <c r="E42" s="75" t="s">
        <v>571</v>
      </c>
      <c r="F42" s="145"/>
      <c r="G42" s="57"/>
      <c r="H42" s="57"/>
      <c r="I42" s="57"/>
      <c r="J42" s="57"/>
      <c r="K42" s="115"/>
      <c r="L42" s="57"/>
      <c r="M42" s="57"/>
      <c r="N42" s="57"/>
      <c r="O42" s="57"/>
      <c r="P42" s="146"/>
      <c r="Q42" s="147"/>
      <c r="R42" s="147"/>
      <c r="S42" s="14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>
      <c r="A43" s="139" t="s">
        <v>316</v>
      </c>
      <c r="B43" s="248" t="s">
        <v>423</v>
      </c>
      <c r="C43" s="249">
        <v>5616.97</v>
      </c>
      <c r="D43" s="250" t="str">
        <f>HYPERLINK("https://osu.ppy.sh/u/2491211","Rio-")</f>
        <v>Rio-</v>
      </c>
      <c r="E43" s="75" t="s">
        <v>28</v>
      </c>
      <c r="F43" s="134">
        <v>800.0</v>
      </c>
      <c r="G43" s="64" t="s">
        <v>29</v>
      </c>
      <c r="H43" s="64" t="s">
        <v>67</v>
      </c>
      <c r="I43" s="64" t="s">
        <v>106</v>
      </c>
      <c r="J43" s="67" t="s">
        <v>32</v>
      </c>
      <c r="K43" s="90">
        <v>500.0</v>
      </c>
      <c r="L43" s="75" t="s">
        <v>107</v>
      </c>
      <c r="M43" s="75" t="s">
        <v>2368</v>
      </c>
      <c r="N43" s="75" t="s">
        <v>2369</v>
      </c>
      <c r="O43" s="57"/>
      <c r="P43" s="146"/>
      <c r="Q43" s="147"/>
      <c r="R43" s="147"/>
      <c r="S43" s="147"/>
      <c r="T43" s="57"/>
      <c r="U43" s="75" t="s">
        <v>1961</v>
      </c>
      <c r="V43" s="75" t="s">
        <v>74</v>
      </c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</row>
    <row r="44">
      <c r="A44" s="139" t="s">
        <v>96</v>
      </c>
      <c r="B44" s="75" t="s">
        <v>2370</v>
      </c>
      <c r="C44" s="242">
        <v>5612.66</v>
      </c>
      <c r="D44" s="243" t="str">
        <f>HYPERLINK("https://osu.ppy.sh/u/6172842","Yaya-chan")</f>
        <v>Yaya-chan</v>
      </c>
      <c r="E44" s="75" t="s">
        <v>28</v>
      </c>
      <c r="F44" s="145"/>
      <c r="G44" s="57"/>
      <c r="H44" s="57"/>
      <c r="I44" s="57"/>
      <c r="J44" s="57"/>
      <c r="K44" s="115"/>
      <c r="L44" s="57"/>
      <c r="M44" s="57"/>
      <c r="N44" s="57"/>
      <c r="O44" s="57"/>
      <c r="P44" s="146"/>
      <c r="Q44" s="147"/>
      <c r="R44" s="147"/>
      <c r="S44" s="14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</row>
    <row r="45">
      <c r="A45" s="139" t="s">
        <v>325</v>
      </c>
      <c r="B45" s="75" t="s">
        <v>2371</v>
      </c>
      <c r="C45" s="242">
        <v>5610.11</v>
      </c>
      <c r="D45" s="243" t="str">
        <f>HYPERLINK("https://osu.ppy.sh/u/4349223","Sharkie")</f>
        <v>Sharkie</v>
      </c>
      <c r="E45" s="75" t="s">
        <v>28</v>
      </c>
      <c r="F45" s="134">
        <v>750.0</v>
      </c>
      <c r="G45" s="64" t="s">
        <v>29</v>
      </c>
      <c r="H45" s="64" t="s">
        <v>67</v>
      </c>
      <c r="I45" s="64" t="s">
        <v>31</v>
      </c>
      <c r="J45" s="67" t="s">
        <v>32</v>
      </c>
      <c r="K45" s="90">
        <v>500.0</v>
      </c>
      <c r="L45" s="75" t="s">
        <v>510</v>
      </c>
      <c r="M45" s="75" t="s">
        <v>389</v>
      </c>
      <c r="N45" s="75" t="s">
        <v>92</v>
      </c>
      <c r="O45" s="75" t="s">
        <v>391</v>
      </c>
      <c r="P45" s="50">
        <v>103.0</v>
      </c>
      <c r="Q45" s="51">
        <v>136.0</v>
      </c>
      <c r="R45" s="51">
        <v>72.0</v>
      </c>
      <c r="S45" s="51">
        <v>41.0</v>
      </c>
      <c r="T45" s="75" t="s">
        <v>42</v>
      </c>
      <c r="U45" s="75" t="s">
        <v>1474</v>
      </c>
      <c r="V45" s="75" t="s">
        <v>74</v>
      </c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</row>
    <row r="46">
      <c r="A46" s="139" t="s">
        <v>330</v>
      </c>
      <c r="B46" s="75" t="s">
        <v>2372</v>
      </c>
      <c r="C46" s="242">
        <v>5609.22</v>
      </c>
      <c r="D46" s="243" t="str">
        <f>HYPERLINK("https://osu.ppy.sh/u/2123087","handsome")</f>
        <v>handsome</v>
      </c>
      <c r="E46" s="75" t="s">
        <v>28</v>
      </c>
      <c r="F46" s="145"/>
      <c r="G46" s="57"/>
      <c r="H46" s="57"/>
      <c r="I46" s="57"/>
      <c r="J46" s="57"/>
      <c r="K46" s="115"/>
      <c r="L46" s="57"/>
      <c r="M46" s="57"/>
      <c r="N46" s="57"/>
      <c r="O46" s="57"/>
      <c r="P46" s="146"/>
      <c r="Q46" s="147"/>
      <c r="R46" s="147"/>
      <c r="S46" s="14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</row>
    <row r="47">
      <c r="A47" s="139" t="s">
        <v>104</v>
      </c>
      <c r="B47" s="75" t="s">
        <v>2373</v>
      </c>
      <c r="C47" s="242">
        <v>5605.01</v>
      </c>
      <c r="D47" s="243" t="str">
        <f>HYPERLINK("https://osu.ppy.sh/u/3933997","AngeLMoogumin")</f>
        <v>AngeLMoogumin</v>
      </c>
      <c r="E47" s="57" t="s">
        <v>28</v>
      </c>
      <c r="F47" s="145"/>
      <c r="G47" s="57"/>
      <c r="H47" s="57"/>
      <c r="I47" s="57"/>
      <c r="J47" s="57"/>
      <c r="K47" s="115"/>
      <c r="L47" s="57"/>
      <c r="M47" s="57"/>
      <c r="N47" s="57"/>
      <c r="O47" s="57"/>
      <c r="P47" s="146"/>
      <c r="Q47" s="147"/>
      <c r="R47" s="147"/>
      <c r="S47" s="14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</row>
    <row r="48">
      <c r="A48" s="139" t="s">
        <v>338</v>
      </c>
      <c r="B48" s="75" t="s">
        <v>2374</v>
      </c>
      <c r="C48" s="242">
        <v>5599.95</v>
      </c>
      <c r="D48" s="243" t="str">
        <f>HYPERLINK("https://osu.ppy.sh/u/9133945","KippaK")</f>
        <v>KippaK</v>
      </c>
      <c r="E48" s="75"/>
      <c r="F48" s="145"/>
      <c r="G48" s="57"/>
      <c r="H48" s="57"/>
      <c r="I48" s="57"/>
      <c r="J48" s="57"/>
      <c r="K48" s="115"/>
      <c r="L48" s="57"/>
      <c r="M48" s="57"/>
      <c r="N48" s="57"/>
      <c r="O48" s="57"/>
      <c r="P48" s="146"/>
      <c r="Q48" s="147"/>
      <c r="R48" s="147"/>
      <c r="S48" s="14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</row>
    <row r="49">
      <c r="A49" s="139" t="s">
        <v>111</v>
      </c>
      <c r="B49" s="75" t="s">
        <v>2375</v>
      </c>
      <c r="C49" s="242">
        <v>5599.17</v>
      </c>
      <c r="D49" s="243" t="str">
        <f>HYPERLINK("https://osu.ppy.sh/u/7676884","Pwnerama")</f>
        <v>Pwnerama</v>
      </c>
      <c r="E49" s="75" t="s">
        <v>28</v>
      </c>
      <c r="F49" s="145"/>
      <c r="G49" s="57"/>
      <c r="H49" s="57"/>
      <c r="I49" s="57"/>
      <c r="J49" s="57"/>
      <c r="K49" s="115"/>
      <c r="L49" s="57"/>
      <c r="M49" s="57"/>
      <c r="N49" s="57"/>
      <c r="O49" s="57"/>
      <c r="P49" s="146"/>
      <c r="Q49" s="147"/>
      <c r="R49" s="147"/>
      <c r="S49" s="14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</row>
    <row r="50">
      <c r="A50" s="139" t="s">
        <v>354</v>
      </c>
      <c r="B50" s="57" t="s">
        <v>2376</v>
      </c>
      <c r="C50" s="236">
        <v>5598.48</v>
      </c>
      <c r="D50" s="237" t="str">
        <f>HYPERLINK("https://osu.ppy.sh/u/2334005","Love Live")</f>
        <v>Love Live</v>
      </c>
      <c r="E50" s="75" t="s">
        <v>28</v>
      </c>
      <c r="F50" s="134"/>
      <c r="G50" s="57"/>
      <c r="H50" s="57"/>
      <c r="I50" s="57"/>
      <c r="J50" s="57"/>
      <c r="K50" s="115"/>
      <c r="L50" s="75"/>
      <c r="M50" s="57"/>
      <c r="N50" s="57"/>
      <c r="O50" s="57"/>
      <c r="P50" s="146"/>
      <c r="Q50" s="147"/>
      <c r="R50" s="147"/>
      <c r="S50" s="14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</row>
    <row r="51">
      <c r="A51" s="139" t="s">
        <v>359</v>
      </c>
      <c r="B51" s="219" t="s">
        <v>2377</v>
      </c>
      <c r="C51" s="251">
        <v>5592.37</v>
      </c>
      <c r="D51" s="252" t="str">
        <f>HYPERLINK("https://osu.ppy.sh/u/6696922","Cryption")</f>
        <v>Cryption</v>
      </c>
      <c r="E51" s="75" t="s">
        <v>28</v>
      </c>
      <c r="F51" s="100" t="s">
        <v>1726</v>
      </c>
      <c r="G51" s="128" t="s">
        <v>29</v>
      </c>
      <c r="H51" s="128" t="s">
        <v>67</v>
      </c>
      <c r="I51" s="128" t="s">
        <v>31</v>
      </c>
      <c r="J51" s="129" t="s">
        <v>32</v>
      </c>
      <c r="K51" s="82" t="s">
        <v>33</v>
      </c>
      <c r="L51" s="57" t="s">
        <v>272</v>
      </c>
      <c r="M51" s="57" t="s">
        <v>2378</v>
      </c>
      <c r="N51" s="57" t="s">
        <v>1088</v>
      </c>
      <c r="O51" s="57"/>
      <c r="P51" s="146"/>
      <c r="Q51" s="147"/>
      <c r="R51" s="147"/>
      <c r="S51" s="147"/>
      <c r="T51" s="57"/>
      <c r="U51" s="57" t="s">
        <v>176</v>
      </c>
      <c r="V51" s="57" t="s">
        <v>74</v>
      </c>
      <c r="W51" s="57"/>
      <c r="X51" s="57"/>
      <c r="Y51" s="57"/>
      <c r="Z51" s="235">
        <v>43160.0</v>
      </c>
      <c r="AA51" s="57"/>
      <c r="AB51" s="57"/>
      <c r="AC51" s="57"/>
      <c r="AD51" s="57"/>
      <c r="AE51" s="57"/>
      <c r="AF51" s="57"/>
      <c r="AG51" s="57"/>
      <c r="AH51" s="57"/>
    </row>
    <row r="52">
      <c r="A52" s="139" t="s">
        <v>370</v>
      </c>
      <c r="B52" s="75" t="s">
        <v>2379</v>
      </c>
      <c r="C52" s="242">
        <v>5589.02</v>
      </c>
      <c r="D52" s="243" t="str">
        <f>HYPERLINK("https://osu.ppy.sh/u/1565258","WareHachimitsu")</f>
        <v>WareHachimitsu</v>
      </c>
      <c r="E52" s="75" t="s">
        <v>28</v>
      </c>
      <c r="F52" s="145"/>
      <c r="G52" s="57"/>
      <c r="H52" s="57"/>
      <c r="I52" s="57"/>
      <c r="J52" s="57"/>
      <c r="K52" s="115"/>
      <c r="L52" s="57"/>
      <c r="M52" s="57"/>
      <c r="N52" s="57"/>
      <c r="O52" s="57"/>
      <c r="P52" s="146"/>
      <c r="Q52" s="147"/>
      <c r="R52" s="147"/>
      <c r="S52" s="14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</row>
    <row r="53">
      <c r="A53" s="139" t="s">
        <v>377</v>
      </c>
      <c r="B53" s="57" t="s">
        <v>2380</v>
      </c>
      <c r="C53" s="236">
        <v>5570.27</v>
      </c>
      <c r="D53" s="237" t="str">
        <f>HYPERLINK("https://osu.ppy.sh/u/7177286","ThaGummy")</f>
        <v>ThaGummy</v>
      </c>
      <c r="E53" s="75" t="s">
        <v>28</v>
      </c>
      <c r="F53" s="145"/>
      <c r="G53" s="57"/>
      <c r="H53" s="57"/>
      <c r="I53" s="57"/>
      <c r="J53" s="57"/>
      <c r="K53" s="115"/>
      <c r="L53" s="57"/>
      <c r="M53" s="57"/>
      <c r="N53" s="57"/>
      <c r="O53" s="57"/>
      <c r="P53" s="146"/>
      <c r="Q53" s="147"/>
      <c r="R53" s="147"/>
      <c r="S53" s="14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</row>
    <row r="54">
      <c r="A54" s="139" t="s">
        <v>383</v>
      </c>
      <c r="B54" s="57" t="s">
        <v>2381</v>
      </c>
      <c r="C54" s="236">
        <v>5569.4</v>
      </c>
      <c r="D54" s="237" t="str">
        <f>HYPERLINK("https://osu.ppy.sh/u/10505395","My Angel Ain")</f>
        <v>My Angel Ain</v>
      </c>
      <c r="E54" s="75" t="s">
        <v>28</v>
      </c>
      <c r="F54" s="145"/>
      <c r="G54" s="57"/>
      <c r="H54" s="57"/>
      <c r="I54" s="57"/>
      <c r="J54" s="57"/>
      <c r="K54" s="115"/>
      <c r="L54" s="57"/>
      <c r="M54" s="57"/>
      <c r="N54" s="57"/>
      <c r="O54" s="57"/>
      <c r="P54" s="146"/>
      <c r="Q54" s="147"/>
      <c r="R54" s="147"/>
      <c r="S54" s="14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</row>
    <row r="55">
      <c r="A55" s="139" t="s">
        <v>387</v>
      </c>
      <c r="B55" s="57" t="s">
        <v>2382</v>
      </c>
      <c r="C55" s="236">
        <v>5562.09</v>
      </c>
      <c r="D55" s="237" t="str">
        <f>HYPERLINK("https://osu.ppy.sh/u/2655062","Pana")</f>
        <v>Pana</v>
      </c>
      <c r="E55" s="75" t="s">
        <v>28</v>
      </c>
      <c r="F55" s="145"/>
      <c r="G55" s="57"/>
      <c r="H55" s="57"/>
      <c r="I55" s="57"/>
      <c r="J55" s="57"/>
      <c r="K55" s="115"/>
      <c r="L55" s="57"/>
      <c r="M55" s="57"/>
      <c r="N55" s="57"/>
      <c r="O55" s="57"/>
      <c r="P55" s="146"/>
      <c r="Q55" s="147"/>
      <c r="R55" s="147"/>
      <c r="S55" s="14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</row>
    <row r="56">
      <c r="A56" s="139" t="s">
        <v>392</v>
      </c>
      <c r="B56" s="253" t="s">
        <v>2383</v>
      </c>
      <c r="C56" s="220">
        <v>5558.88</v>
      </c>
      <c r="D56" s="254" t="str">
        <f>HYPERLINK("https://osu.ppy.sh/u/5783061","-Spartan")</f>
        <v>-Spartan</v>
      </c>
      <c r="E56" s="75" t="s">
        <v>28</v>
      </c>
      <c r="F56" s="100" t="s">
        <v>77</v>
      </c>
      <c r="G56" s="128" t="s">
        <v>29</v>
      </c>
      <c r="H56" s="128" t="s">
        <v>1133</v>
      </c>
      <c r="I56" s="128" t="s">
        <v>106</v>
      </c>
      <c r="J56" s="129" t="s">
        <v>32</v>
      </c>
      <c r="K56" s="115"/>
      <c r="L56" s="57" t="s">
        <v>272</v>
      </c>
      <c r="M56" s="57" t="s">
        <v>108</v>
      </c>
      <c r="N56" s="57" t="s">
        <v>718</v>
      </c>
      <c r="O56" s="57" t="s">
        <v>109</v>
      </c>
      <c r="P56" s="79" t="s">
        <v>110</v>
      </c>
      <c r="Q56" s="147" t="s">
        <v>39</v>
      </c>
      <c r="R56" s="80" t="s">
        <v>72</v>
      </c>
      <c r="S56" s="80" t="s">
        <v>41</v>
      </c>
      <c r="T56" s="128" t="s">
        <v>42</v>
      </c>
      <c r="U56" s="57" t="s">
        <v>2384</v>
      </c>
      <c r="V56" s="57" t="s">
        <v>74</v>
      </c>
      <c r="W56" s="57"/>
      <c r="X56" s="57"/>
      <c r="Y56" s="57"/>
      <c r="Z56" s="235">
        <v>43344.0</v>
      </c>
      <c r="AA56" s="57"/>
      <c r="AB56" s="57"/>
      <c r="AC56" s="57"/>
      <c r="AD56" s="57"/>
      <c r="AE56" s="57"/>
      <c r="AF56" s="57"/>
      <c r="AG56" s="57"/>
      <c r="AH56" s="57"/>
    </row>
    <row r="57">
      <c r="A57" s="139" t="s">
        <v>399</v>
      </c>
      <c r="B57" s="75" t="s">
        <v>2385</v>
      </c>
      <c r="C57" s="242">
        <v>5558.65</v>
      </c>
      <c r="D57" s="243" t="str">
        <f>HYPERLINK("https://osu.ppy.sh/u/357749","Master-Hilde")</f>
        <v>Master-Hilde</v>
      </c>
      <c r="E57" s="57"/>
      <c r="F57" s="145"/>
      <c r="G57" s="57"/>
      <c r="H57" s="57"/>
      <c r="I57" s="57"/>
      <c r="J57" s="57"/>
      <c r="K57" s="115"/>
      <c r="L57" s="57"/>
      <c r="M57" s="57"/>
      <c r="N57" s="57"/>
      <c r="O57" s="57"/>
      <c r="P57" s="146"/>
      <c r="Q57" s="147"/>
      <c r="R57" s="147"/>
      <c r="S57" s="14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</row>
    <row r="58">
      <c r="A58" s="139" t="s">
        <v>401</v>
      </c>
      <c r="B58" s="57" t="s">
        <v>2386</v>
      </c>
      <c r="C58" s="236">
        <v>5545.06</v>
      </c>
      <c r="D58" s="237" t="str">
        <f>HYPERLINK("https://osu.ppy.sh/u/6795174","Faaa97")</f>
        <v>Faaa97</v>
      </c>
      <c r="E58" s="75" t="s">
        <v>28</v>
      </c>
      <c r="F58" s="145"/>
      <c r="G58" s="57"/>
      <c r="H58" s="57"/>
      <c r="I58" s="57"/>
      <c r="J58" s="57"/>
      <c r="K58" s="115"/>
      <c r="L58" s="57"/>
      <c r="M58" s="57"/>
      <c r="N58" s="57"/>
      <c r="O58" s="57"/>
      <c r="P58" s="146"/>
      <c r="Q58" s="147"/>
      <c r="R58" s="147"/>
      <c r="S58" s="14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</row>
    <row r="59">
      <c r="A59" s="139" t="s">
        <v>119</v>
      </c>
      <c r="B59" s="75" t="s">
        <v>2387</v>
      </c>
      <c r="C59" s="242">
        <v>5544.12</v>
      </c>
      <c r="D59" s="243" t="str">
        <f>HYPERLINK("https://osu.ppy.sh/u/3778982","Heart Attack")</f>
        <v>Heart Attack</v>
      </c>
      <c r="E59" s="75" t="s">
        <v>28</v>
      </c>
      <c r="F59" s="145">
        <v>800.0</v>
      </c>
      <c r="G59" s="57" t="s">
        <v>78</v>
      </c>
      <c r="H59" s="128" t="s">
        <v>67</v>
      </c>
      <c r="I59" s="57" t="s">
        <v>106</v>
      </c>
      <c r="J59" s="57" t="s">
        <v>192</v>
      </c>
      <c r="K59" s="115" t="s">
        <v>33</v>
      </c>
      <c r="L59" s="57" t="s">
        <v>915</v>
      </c>
      <c r="M59" s="57" t="s">
        <v>485</v>
      </c>
      <c r="N59" s="75" t="s">
        <v>61</v>
      </c>
      <c r="O59" s="75" t="s">
        <v>52</v>
      </c>
      <c r="P59" s="50">
        <v>130.0</v>
      </c>
      <c r="Q59" s="51">
        <v>133.0</v>
      </c>
      <c r="R59" s="51">
        <v>70.0</v>
      </c>
      <c r="S59" s="51">
        <v>46.0</v>
      </c>
      <c r="T59" s="75" t="s">
        <v>218</v>
      </c>
      <c r="U59" s="57" t="s">
        <v>62</v>
      </c>
      <c r="V59" s="57" t="s">
        <v>2388</v>
      </c>
      <c r="W59" s="57"/>
      <c r="X59" s="57"/>
      <c r="Y59" s="57"/>
      <c r="Z59" s="148"/>
      <c r="AA59" s="57"/>
      <c r="AB59" s="57"/>
      <c r="AC59" s="57"/>
      <c r="AD59" s="57"/>
      <c r="AE59" s="57"/>
      <c r="AF59" s="57"/>
      <c r="AG59" s="57"/>
      <c r="AH59" s="57"/>
    </row>
    <row r="60">
      <c r="A60" s="139" t="s">
        <v>413</v>
      </c>
      <c r="B60" s="75" t="s">
        <v>2389</v>
      </c>
      <c r="C60" s="242">
        <v>5539.98</v>
      </c>
      <c r="D60" s="243" t="str">
        <f>HYPERLINK("https://osu.ppy.sh/u/3715849","jaaakb")</f>
        <v>jaaakb</v>
      </c>
      <c r="E60" s="57" t="s">
        <v>28</v>
      </c>
      <c r="F60" s="100" t="s">
        <v>1098</v>
      </c>
      <c r="G60" s="128" t="s">
        <v>29</v>
      </c>
      <c r="H60" s="128" t="s">
        <v>67</v>
      </c>
      <c r="I60" s="128" t="s">
        <v>404</v>
      </c>
      <c r="J60" s="129" t="s">
        <v>32</v>
      </c>
      <c r="K60" s="82">
        <v>500.0</v>
      </c>
      <c r="L60" s="57" t="s">
        <v>405</v>
      </c>
      <c r="M60" s="57" t="s">
        <v>1438</v>
      </c>
      <c r="N60" s="57" t="s">
        <v>92</v>
      </c>
      <c r="O60" s="75" t="s">
        <v>496</v>
      </c>
      <c r="P60" s="50">
        <v>105.0</v>
      </c>
      <c r="Q60" s="51">
        <v>127.0</v>
      </c>
      <c r="R60" s="51">
        <v>70.0</v>
      </c>
      <c r="S60" s="51">
        <v>44.0</v>
      </c>
      <c r="T60" s="75" t="s">
        <v>42</v>
      </c>
      <c r="U60" s="57" t="s">
        <v>2390</v>
      </c>
      <c r="V60" s="57" t="s">
        <v>899</v>
      </c>
      <c r="W60" s="57"/>
      <c r="X60" s="57"/>
      <c r="Y60" s="57"/>
      <c r="Z60" s="235">
        <v>43221.0</v>
      </c>
      <c r="AA60" s="57"/>
      <c r="AB60" s="57"/>
      <c r="AC60" s="57"/>
      <c r="AD60" s="57"/>
      <c r="AE60" s="57"/>
      <c r="AF60" s="57"/>
      <c r="AG60" s="57"/>
      <c r="AH60" s="57"/>
    </row>
    <row r="61">
      <c r="A61" s="139" t="s">
        <v>415</v>
      </c>
      <c r="B61" s="248" t="s">
        <v>423</v>
      </c>
      <c r="C61" s="249">
        <v>5539.0</v>
      </c>
      <c r="D61" s="250" t="str">
        <f>HYPERLINK("https://osu.ppy.sh/u/759439","jieusieu")</f>
        <v>jieusieu</v>
      </c>
      <c r="E61" s="75" t="s">
        <v>571</v>
      </c>
      <c r="F61" s="134">
        <v>800.0</v>
      </c>
      <c r="G61" s="64" t="s">
        <v>29</v>
      </c>
      <c r="H61" s="64" t="s">
        <v>67</v>
      </c>
      <c r="I61" s="64" t="s">
        <v>2391</v>
      </c>
      <c r="J61" s="67" t="s">
        <v>32</v>
      </c>
      <c r="K61" s="115"/>
      <c r="L61" s="75" t="s">
        <v>2392</v>
      </c>
      <c r="M61" s="75" t="s">
        <v>2393</v>
      </c>
      <c r="N61" s="75" t="s">
        <v>174</v>
      </c>
      <c r="O61" s="196"/>
      <c r="P61" s="255"/>
      <c r="Q61" s="207"/>
      <c r="R61" s="207"/>
      <c r="S61" s="207"/>
      <c r="T61" s="196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</row>
    <row r="62">
      <c r="A62" s="139" t="s">
        <v>419</v>
      </c>
      <c r="B62" s="75" t="s">
        <v>2051</v>
      </c>
      <c r="C62" s="242">
        <v>5532.89</v>
      </c>
      <c r="D62" s="243" t="str">
        <f>HYPERLINK("https://osu.ppy.sh/u/8045702","White_CeCe")</f>
        <v>White_CeCe</v>
      </c>
      <c r="E62" s="75" t="s">
        <v>28</v>
      </c>
      <c r="F62" s="100" t="s">
        <v>1726</v>
      </c>
      <c r="G62" s="128" t="s">
        <v>236</v>
      </c>
      <c r="H62" s="128" t="s">
        <v>1764</v>
      </c>
      <c r="I62" s="128" t="s">
        <v>2394</v>
      </c>
      <c r="J62" s="129" t="s">
        <v>32</v>
      </c>
      <c r="K62" s="115"/>
      <c r="L62" s="57"/>
      <c r="M62" s="57" t="s">
        <v>2395</v>
      </c>
      <c r="N62" s="57" t="s">
        <v>1346</v>
      </c>
      <c r="O62" s="57"/>
      <c r="P62" s="146"/>
      <c r="Q62" s="147"/>
      <c r="R62" s="147"/>
      <c r="S62" s="147"/>
      <c r="T62" s="57"/>
      <c r="U62" s="57" t="s">
        <v>62</v>
      </c>
      <c r="V62" s="57" t="s">
        <v>63</v>
      </c>
      <c r="W62" s="57"/>
      <c r="X62" s="57"/>
      <c r="Y62" s="57"/>
      <c r="Z62" s="235">
        <v>43221.0</v>
      </c>
      <c r="AA62" s="57"/>
      <c r="AB62" s="57"/>
      <c r="AC62" s="57"/>
      <c r="AD62" s="57"/>
      <c r="AE62" s="57"/>
      <c r="AF62" s="57"/>
      <c r="AG62" s="57"/>
      <c r="AH62" s="57"/>
    </row>
    <row r="63">
      <c r="A63" s="139" t="s">
        <v>127</v>
      </c>
      <c r="B63" s="256" t="s">
        <v>423</v>
      </c>
      <c r="C63" s="257">
        <v>5532.36</v>
      </c>
      <c r="D63" s="258" t="str">
        <f>HYPERLINK("https://osu.ppy.sh/u/1091470","Lazuli")</f>
        <v>Lazuli</v>
      </c>
      <c r="E63" s="75" t="s">
        <v>571</v>
      </c>
      <c r="F63" s="145"/>
      <c r="G63" s="57"/>
      <c r="H63" s="57"/>
      <c r="I63" s="57"/>
      <c r="J63" s="57"/>
      <c r="K63" s="115"/>
      <c r="L63" s="57"/>
      <c r="M63" s="57"/>
      <c r="N63" s="57"/>
      <c r="O63" s="57"/>
      <c r="P63" s="146"/>
      <c r="Q63" s="147"/>
      <c r="R63" s="147"/>
      <c r="S63" s="14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</row>
    <row r="64">
      <c r="A64" s="139" t="s">
        <v>427</v>
      </c>
      <c r="B64" s="57" t="s">
        <v>2396</v>
      </c>
      <c r="C64" s="236">
        <v>5524.95</v>
      </c>
      <c r="D64" s="237" t="str">
        <f>HYPERLINK("https://osu.ppy.sh/u/6374979","Aportik")</f>
        <v>Aportik</v>
      </c>
      <c r="E64" s="75" t="s">
        <v>28</v>
      </c>
      <c r="F64" s="100" t="s">
        <v>2397</v>
      </c>
      <c r="G64" s="128" t="s">
        <v>29</v>
      </c>
      <c r="H64" s="128" t="s">
        <v>2398</v>
      </c>
      <c r="I64" s="128" t="s">
        <v>31</v>
      </c>
      <c r="J64" s="129" t="s">
        <v>32</v>
      </c>
      <c r="K64" s="115" t="s">
        <v>33</v>
      </c>
      <c r="L64" s="57"/>
      <c r="M64" s="57" t="s">
        <v>2399</v>
      </c>
      <c r="N64" s="57" t="s">
        <v>2400</v>
      </c>
      <c r="O64" s="57"/>
      <c r="P64" s="146"/>
      <c r="Q64" s="147"/>
      <c r="R64" s="147"/>
      <c r="S64" s="147"/>
      <c r="T64" s="57"/>
      <c r="U64" s="57" t="s">
        <v>176</v>
      </c>
      <c r="V64" s="57" t="s">
        <v>74</v>
      </c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</row>
    <row r="65">
      <c r="A65" s="139" t="s">
        <v>431</v>
      </c>
      <c r="B65" s="75" t="s">
        <v>2401</v>
      </c>
      <c r="C65" s="242">
        <v>5522.45</v>
      </c>
      <c r="D65" s="243" t="str">
        <f>HYPERLINK("https://osu.ppy.sh/u/941094","MillhioreF")</f>
        <v>MillhioreF</v>
      </c>
      <c r="E65" s="75" t="s">
        <v>28</v>
      </c>
      <c r="F65" s="134">
        <v>400.0</v>
      </c>
      <c r="G65" s="64" t="s">
        <v>78</v>
      </c>
      <c r="H65" s="64" t="s">
        <v>2402</v>
      </c>
      <c r="I65" s="64" t="s">
        <v>421</v>
      </c>
      <c r="J65" s="67" t="s">
        <v>32</v>
      </c>
      <c r="K65" s="90">
        <v>125.0</v>
      </c>
      <c r="L65" s="75" t="s">
        <v>477</v>
      </c>
      <c r="M65" s="75" t="s">
        <v>2403</v>
      </c>
      <c r="N65" s="75" t="s">
        <v>174</v>
      </c>
      <c r="O65" s="75" t="s">
        <v>1423</v>
      </c>
      <c r="P65" s="50">
        <v>125.0</v>
      </c>
      <c r="Q65" s="51">
        <v>124.0</v>
      </c>
      <c r="R65" s="51">
        <v>67.0</v>
      </c>
      <c r="S65" s="51">
        <v>40.0</v>
      </c>
      <c r="T65" s="75" t="s">
        <v>2214</v>
      </c>
      <c r="U65" s="75" t="s">
        <v>62</v>
      </c>
      <c r="V65" s="75" t="s">
        <v>63</v>
      </c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</row>
    <row r="66">
      <c r="A66" s="139" t="s">
        <v>437</v>
      </c>
      <c r="B66" s="75" t="s">
        <v>2404</v>
      </c>
      <c r="C66" s="242">
        <v>5522.16</v>
      </c>
      <c r="D66" s="243" t="str">
        <f>HYPERLINK("https://osu.ppy.sh/u/5310902","Honkia")</f>
        <v>Honkia</v>
      </c>
      <c r="E66" s="75" t="s">
        <v>28</v>
      </c>
      <c r="F66" s="145"/>
      <c r="G66" s="57"/>
      <c r="H66" s="57"/>
      <c r="I66" s="57"/>
      <c r="J66" s="57"/>
      <c r="K66" s="115"/>
      <c r="L66" s="57"/>
      <c r="M66" s="57"/>
      <c r="N66" s="57"/>
      <c r="O66" s="57"/>
      <c r="P66" s="146"/>
      <c r="Q66" s="147"/>
      <c r="R66" s="147"/>
      <c r="S66" s="14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</row>
    <row r="67">
      <c r="A67" s="139" t="s">
        <v>442</v>
      </c>
      <c r="B67" s="57" t="s">
        <v>2405</v>
      </c>
      <c r="C67" s="236">
        <v>5515.51</v>
      </c>
      <c r="D67" s="237" t="str">
        <f>HYPERLINK("https://osu.ppy.sh/u/333241","kriers")</f>
        <v>kriers</v>
      </c>
      <c r="E67" s="75" t="s">
        <v>28</v>
      </c>
      <c r="F67" s="145"/>
      <c r="G67" s="57"/>
      <c r="H67" s="57"/>
      <c r="I67" s="57"/>
      <c r="J67" s="57"/>
      <c r="K67" s="115"/>
      <c r="L67" s="57"/>
      <c r="M67" s="57"/>
      <c r="N67" s="57"/>
      <c r="O67" s="57"/>
      <c r="P67" s="146"/>
      <c r="Q67" s="147"/>
      <c r="R67" s="147"/>
      <c r="S67" s="14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</row>
    <row r="68">
      <c r="A68" s="139" t="s">
        <v>448</v>
      </c>
      <c r="B68" s="256" t="s">
        <v>423</v>
      </c>
      <c r="C68" s="257">
        <v>5512.53</v>
      </c>
      <c r="D68" s="258" t="str">
        <f>HYPERLINK("https://osu.ppy.sh/u/824639","Fergie")</f>
        <v>Fergie</v>
      </c>
      <c r="E68" s="75" t="s">
        <v>571</v>
      </c>
      <c r="F68" s="145"/>
      <c r="G68" s="57"/>
      <c r="H68" s="57"/>
      <c r="I68" s="57"/>
      <c r="J68" s="57"/>
      <c r="K68" s="115"/>
      <c r="L68" s="57"/>
      <c r="M68" s="57"/>
      <c r="N68" s="57"/>
      <c r="O68" s="57"/>
      <c r="P68" s="146"/>
      <c r="Q68" s="147"/>
      <c r="R68" s="147"/>
      <c r="S68" s="14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</row>
    <row r="69">
      <c r="A69" s="139" t="s">
        <v>452</v>
      </c>
      <c r="B69" s="57" t="s">
        <v>2406</v>
      </c>
      <c r="C69" s="236">
        <v>5500.76</v>
      </c>
      <c r="D69" s="237" t="str">
        <f>HYPERLINK("https://osu.ppy.sh/u/2754924","RedKing")</f>
        <v>RedKing</v>
      </c>
      <c r="E69" s="75" t="s">
        <v>571</v>
      </c>
      <c r="F69" s="145"/>
      <c r="G69" s="57"/>
      <c r="H69" s="57"/>
      <c r="I69" s="57"/>
      <c r="J69" s="57"/>
      <c r="K69" s="115"/>
      <c r="L69" s="57"/>
      <c r="M69" s="57"/>
      <c r="N69" s="57"/>
      <c r="O69" s="57"/>
      <c r="P69" s="146"/>
      <c r="Q69" s="147"/>
      <c r="R69" s="147"/>
      <c r="S69" s="14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</row>
    <row r="70">
      <c r="A70" s="139" t="s">
        <v>459</v>
      </c>
      <c r="B70" s="248" t="s">
        <v>423</v>
      </c>
      <c r="C70" s="249">
        <v>5499.75</v>
      </c>
      <c r="D70" s="250" t="str">
        <f>HYPERLINK("https://osu.ppy.sh/u/177886","pekolove")</f>
        <v>pekolove</v>
      </c>
      <c r="E70" s="75" t="s">
        <v>571</v>
      </c>
      <c r="F70" s="145"/>
      <c r="G70" s="57"/>
      <c r="H70" s="57"/>
      <c r="I70" s="57"/>
      <c r="J70" s="57"/>
      <c r="K70" s="115"/>
      <c r="L70" s="57"/>
      <c r="M70" s="57"/>
      <c r="N70" s="57"/>
      <c r="O70" s="57"/>
      <c r="P70" s="146"/>
      <c r="Q70" s="147"/>
      <c r="R70" s="147"/>
      <c r="S70" s="14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</row>
    <row r="71">
      <c r="A71" s="139" t="s">
        <v>464</v>
      </c>
      <c r="B71" s="57" t="s">
        <v>2407</v>
      </c>
      <c r="C71" s="236">
        <v>5492.58</v>
      </c>
      <c r="D71" s="237" t="str">
        <f>HYPERLINK("https://osu.ppy.sh/u/1338294","Chaotic Neutral")</f>
        <v>Chaotic Neutral</v>
      </c>
      <c r="E71" s="75" t="s">
        <v>28</v>
      </c>
      <c r="F71" s="145"/>
      <c r="G71" s="57"/>
      <c r="H71" s="57"/>
      <c r="I71" s="57"/>
      <c r="J71" s="57"/>
      <c r="K71" s="115"/>
      <c r="L71" s="57"/>
      <c r="M71" s="57"/>
      <c r="N71" s="57"/>
      <c r="O71" s="57"/>
      <c r="P71" s="146"/>
      <c r="Q71" s="147"/>
      <c r="R71" s="147"/>
      <c r="S71" s="14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</row>
    <row r="72">
      <c r="A72" s="139" t="s">
        <v>468</v>
      </c>
      <c r="B72" s="256" t="s">
        <v>423</v>
      </c>
      <c r="C72" s="257">
        <v>5486.25</v>
      </c>
      <c r="D72" s="258" t="str">
        <f>HYPERLINK("https://osu.ppy.sh/u/4775226","Pelzio")</f>
        <v>Pelzio</v>
      </c>
      <c r="E72" s="57" t="s">
        <v>28</v>
      </c>
      <c r="F72" s="100">
        <v>800.0</v>
      </c>
      <c r="G72" s="128" t="s">
        <v>29</v>
      </c>
      <c r="H72" s="128" t="s">
        <v>67</v>
      </c>
      <c r="I72" s="128" t="s">
        <v>31</v>
      </c>
      <c r="J72" s="129" t="s">
        <v>32</v>
      </c>
      <c r="K72" s="115"/>
      <c r="L72" s="57" t="s">
        <v>222</v>
      </c>
      <c r="M72" s="57" t="s">
        <v>100</v>
      </c>
      <c r="N72" s="57" t="s">
        <v>179</v>
      </c>
      <c r="O72" s="75" t="s">
        <v>101</v>
      </c>
      <c r="P72" s="50">
        <v>105.0</v>
      </c>
      <c r="Q72" s="51">
        <v>127.0</v>
      </c>
      <c r="R72" s="51">
        <v>70.0</v>
      </c>
      <c r="S72" s="51">
        <v>44.0</v>
      </c>
      <c r="T72" s="75" t="s">
        <v>42</v>
      </c>
      <c r="U72" s="57" t="s">
        <v>589</v>
      </c>
      <c r="V72" s="57" t="s">
        <v>74</v>
      </c>
      <c r="W72" s="57"/>
      <c r="X72" s="57"/>
      <c r="Y72" s="57"/>
      <c r="Z72" s="235">
        <v>42979.0</v>
      </c>
      <c r="AA72" s="57"/>
      <c r="AB72" s="57"/>
      <c r="AC72" s="57"/>
      <c r="AD72" s="57"/>
      <c r="AE72" s="57"/>
      <c r="AF72" s="57"/>
      <c r="AG72" s="57"/>
      <c r="AH72" s="57"/>
    </row>
    <row r="73">
      <c r="A73" s="139" t="s">
        <v>475</v>
      </c>
      <c r="B73" s="57" t="s">
        <v>2408</v>
      </c>
      <c r="C73" s="236">
        <v>5480.43</v>
      </c>
      <c r="D73" s="237" t="str">
        <f>HYPERLINK("https://osu.ppy.sh/u/70730","Sure")</f>
        <v>Sure</v>
      </c>
      <c r="E73" s="75" t="s">
        <v>28</v>
      </c>
      <c r="F73" s="134">
        <v>2550.0</v>
      </c>
      <c r="G73" s="57"/>
      <c r="H73" s="57"/>
      <c r="I73" s="64" t="s">
        <v>31</v>
      </c>
      <c r="J73" s="57"/>
      <c r="K73" s="115"/>
      <c r="L73" s="75" t="s">
        <v>2409</v>
      </c>
      <c r="M73" s="75" t="s">
        <v>1768</v>
      </c>
      <c r="N73" s="57"/>
      <c r="O73" s="75" t="s">
        <v>408</v>
      </c>
      <c r="P73" s="146"/>
      <c r="Q73" s="147"/>
      <c r="R73" s="147"/>
      <c r="S73" s="147"/>
      <c r="T73" s="57"/>
      <c r="U73" s="75" t="s">
        <v>2410</v>
      </c>
      <c r="V73" s="75" t="s">
        <v>63</v>
      </c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</row>
    <row r="74">
      <c r="A74" s="139" t="s">
        <v>481</v>
      </c>
      <c r="B74" s="75" t="s">
        <v>2411</v>
      </c>
      <c r="C74" s="242">
        <v>5477.63</v>
      </c>
      <c r="D74" s="243" t="str">
        <f>HYPERLINK("https://osu.ppy.sh/u/6890660","nanomania")</f>
        <v>nanomania</v>
      </c>
      <c r="E74" s="57"/>
      <c r="F74" s="145"/>
      <c r="G74" s="57"/>
      <c r="H74" s="57"/>
      <c r="I74" s="57"/>
      <c r="J74" s="57"/>
      <c r="K74" s="115"/>
      <c r="L74" s="57"/>
      <c r="M74" s="57"/>
      <c r="N74" s="57"/>
      <c r="O74" s="57"/>
      <c r="P74" s="146"/>
      <c r="Q74" s="147"/>
      <c r="R74" s="147"/>
      <c r="S74" s="147"/>
      <c r="T74" s="57"/>
      <c r="U74" s="57"/>
      <c r="V74" s="57"/>
      <c r="W74" s="57"/>
      <c r="X74" s="57"/>
      <c r="Y74" s="57"/>
      <c r="Z74" s="148"/>
      <c r="AA74" s="57"/>
      <c r="AB74" s="57"/>
      <c r="AC74" s="57"/>
      <c r="AD74" s="57"/>
      <c r="AE74" s="57"/>
      <c r="AF74" s="57"/>
      <c r="AG74" s="57"/>
      <c r="AH74" s="57"/>
    </row>
    <row r="75">
      <c r="A75" s="139" t="s">
        <v>487</v>
      </c>
      <c r="B75" s="57" t="s">
        <v>2412</v>
      </c>
      <c r="C75" s="236">
        <v>5470.98</v>
      </c>
      <c r="D75" s="237" t="str">
        <f>HYPERLINK("https://osu.ppy.sh/u/5028659","Thali")</f>
        <v>Thali</v>
      </c>
      <c r="E75" s="75" t="s">
        <v>28</v>
      </c>
      <c r="F75" s="145"/>
      <c r="G75" s="57"/>
      <c r="H75" s="57"/>
      <c r="I75" s="57"/>
      <c r="J75" s="57"/>
      <c r="K75" s="115"/>
      <c r="L75" s="57"/>
      <c r="M75" s="57"/>
      <c r="N75" s="57"/>
      <c r="O75" s="57"/>
      <c r="P75" s="146"/>
      <c r="Q75" s="147"/>
      <c r="R75" s="147"/>
      <c r="S75" s="14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</row>
    <row r="76">
      <c r="A76" s="139" t="s">
        <v>492</v>
      </c>
      <c r="B76" s="75" t="s">
        <v>2413</v>
      </c>
      <c r="C76" s="242">
        <v>5469.12</v>
      </c>
      <c r="D76" s="243" t="str">
        <f>HYPERLINK("https://osu.ppy.sh/u/685188","FujiwaraNoMokou")</f>
        <v>FujiwaraNoMokou</v>
      </c>
      <c r="E76" s="75" t="s">
        <v>28</v>
      </c>
      <c r="F76" s="100" t="s">
        <v>2414</v>
      </c>
      <c r="G76" s="128" t="s">
        <v>29</v>
      </c>
      <c r="H76" s="128" t="s">
        <v>67</v>
      </c>
      <c r="I76" s="128" t="s">
        <v>31</v>
      </c>
      <c r="J76" s="129" t="s">
        <v>32</v>
      </c>
      <c r="K76" s="82" t="s">
        <v>33</v>
      </c>
      <c r="L76" s="57" t="s">
        <v>1684</v>
      </c>
      <c r="M76" s="57" t="s">
        <v>199</v>
      </c>
      <c r="N76" s="57" t="s">
        <v>2415</v>
      </c>
      <c r="O76" s="57"/>
      <c r="P76" s="146"/>
      <c r="Q76" s="147"/>
      <c r="R76" s="147"/>
      <c r="S76" s="147"/>
      <c r="T76" s="57"/>
      <c r="U76" s="57" t="s">
        <v>977</v>
      </c>
      <c r="V76" s="57" t="s">
        <v>94</v>
      </c>
      <c r="W76" s="57"/>
      <c r="X76" s="57"/>
      <c r="Y76" s="57"/>
      <c r="Z76" s="235">
        <v>43282.0</v>
      </c>
      <c r="AA76" s="57"/>
      <c r="AB76" s="57"/>
      <c r="AC76" s="57"/>
      <c r="AD76" s="57"/>
      <c r="AE76" s="57"/>
      <c r="AF76" s="57"/>
      <c r="AG76" s="57"/>
      <c r="AH76" s="57"/>
    </row>
    <row r="77">
      <c r="A77" s="139" t="s">
        <v>500</v>
      </c>
      <c r="B77" s="75" t="s">
        <v>2416</v>
      </c>
      <c r="C77" s="242">
        <v>5465.84</v>
      </c>
      <c r="D77" s="243" t="str">
        <f>HYPERLINK("https://osu.ppy.sh/u/1861182","BlasterONE")</f>
        <v>BlasterONE</v>
      </c>
      <c r="E77" s="75" t="s">
        <v>28</v>
      </c>
      <c r="F77" s="145"/>
      <c r="G77" s="57"/>
      <c r="H77" s="57"/>
      <c r="I77" s="57"/>
      <c r="J77" s="57"/>
      <c r="K77" s="115"/>
      <c r="L77" s="57"/>
      <c r="M77" s="57"/>
      <c r="N77" s="57"/>
      <c r="O77" s="57"/>
      <c r="P77" s="146"/>
      <c r="Q77" s="147"/>
      <c r="R77" s="147"/>
      <c r="S77" s="14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</row>
    <row r="78">
      <c r="A78" s="139" t="s">
        <v>505</v>
      </c>
      <c r="B78" s="57" t="s">
        <v>2417</v>
      </c>
      <c r="C78" s="236">
        <v>5463.2</v>
      </c>
      <c r="D78" s="237" t="str">
        <f>HYPERLINK("https://osu.ppy.sh/u/3425317","ZefyrKun")</f>
        <v>ZefyrKun</v>
      </c>
      <c r="E78" s="75" t="s">
        <v>571</v>
      </c>
      <c r="F78" s="145"/>
      <c r="G78" s="57"/>
      <c r="H78" s="57"/>
      <c r="I78" s="57"/>
      <c r="J78" s="57"/>
      <c r="K78" s="115"/>
      <c r="L78" s="57"/>
      <c r="M78" s="57"/>
      <c r="N78" s="57"/>
      <c r="O78" s="57"/>
      <c r="P78" s="146"/>
      <c r="Q78" s="147"/>
      <c r="R78" s="147"/>
      <c r="S78" s="14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</row>
    <row r="79">
      <c r="A79" s="139" t="s">
        <v>507</v>
      </c>
      <c r="B79" s="75" t="s">
        <v>2418</v>
      </c>
      <c r="C79" s="242">
        <v>5457.12</v>
      </c>
      <c r="D79" s="243" t="str">
        <f>HYPERLINK("https://osu.ppy.sh/u/4227734","Zarotobi")</f>
        <v>Zarotobi</v>
      </c>
      <c r="E79" s="75" t="s">
        <v>28</v>
      </c>
      <c r="F79" s="145"/>
      <c r="G79" s="57"/>
      <c r="H79" s="57"/>
      <c r="I79" s="57"/>
      <c r="J79" s="57"/>
      <c r="K79" s="115"/>
      <c r="L79" s="57"/>
      <c r="M79" s="57"/>
      <c r="N79" s="57"/>
      <c r="O79" s="57"/>
      <c r="P79" s="146"/>
      <c r="Q79" s="147"/>
      <c r="R79" s="147"/>
      <c r="S79" s="14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</row>
    <row r="80">
      <c r="A80" s="139" t="s">
        <v>512</v>
      </c>
      <c r="B80" s="75" t="s">
        <v>2419</v>
      </c>
      <c r="C80" s="242">
        <v>5456.13</v>
      </c>
      <c r="D80" s="243" t="str">
        <f>HYPERLINK("https://osu.ppy.sh/u/3334274","InfamousWaniel")</f>
        <v>InfamousWaniel</v>
      </c>
      <c r="E80" s="75" t="s">
        <v>28</v>
      </c>
      <c r="F80" s="145"/>
      <c r="G80" s="57"/>
      <c r="H80" s="57"/>
      <c r="I80" s="57"/>
      <c r="J80" s="57"/>
      <c r="K80" s="115"/>
      <c r="L80" s="57"/>
      <c r="M80" s="57"/>
      <c r="N80" s="57"/>
      <c r="O80" s="57"/>
      <c r="P80" s="146"/>
      <c r="Q80" s="147"/>
      <c r="R80" s="147"/>
      <c r="S80" s="14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</row>
    <row r="81">
      <c r="A81" s="139" t="s">
        <v>519</v>
      </c>
      <c r="B81" s="75" t="s">
        <v>2420</v>
      </c>
      <c r="C81" s="242">
        <v>5454.87</v>
      </c>
      <c r="D81" s="243" t="str">
        <f>HYPERLINK("https://osu.ppy.sh/u/2195646","Kyubey")</f>
        <v>Kyubey</v>
      </c>
      <c r="E81" s="57" t="s">
        <v>28</v>
      </c>
      <c r="F81" s="145"/>
      <c r="G81" s="57"/>
      <c r="H81" s="57"/>
      <c r="I81" s="57"/>
      <c r="J81" s="57"/>
      <c r="K81" s="115"/>
      <c r="L81" s="57"/>
      <c r="M81" s="57"/>
      <c r="N81" s="57"/>
      <c r="O81" s="57"/>
      <c r="P81" s="146"/>
      <c r="Q81" s="147"/>
      <c r="R81" s="147"/>
      <c r="S81" s="14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</row>
    <row r="82">
      <c r="A82" s="139" t="s">
        <v>136</v>
      </c>
      <c r="B82" s="75" t="s">
        <v>2421</v>
      </c>
      <c r="C82" s="242">
        <v>5446.44</v>
      </c>
      <c r="D82" s="243" t="str">
        <f>HYPERLINK("https://osu.ppy.sh/u/6876679","Bonkless")</f>
        <v>Bonkless</v>
      </c>
      <c r="E82" s="75" t="s">
        <v>28</v>
      </c>
      <c r="F82" s="145"/>
      <c r="G82" s="57"/>
      <c r="H82" s="57"/>
      <c r="I82" s="57"/>
      <c r="J82" s="57"/>
      <c r="K82" s="115"/>
      <c r="L82" s="57"/>
      <c r="M82" s="57"/>
      <c r="N82" s="57"/>
      <c r="O82" s="57"/>
      <c r="P82" s="146"/>
      <c r="Q82" s="147"/>
      <c r="R82" s="147"/>
      <c r="S82" s="14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</row>
    <row r="83">
      <c r="A83" s="139" t="s">
        <v>525</v>
      </c>
      <c r="B83" s="248" t="s">
        <v>423</v>
      </c>
      <c r="C83" s="249">
        <v>5437.96</v>
      </c>
      <c r="D83" s="250" t="str">
        <f>HYPERLINK("https://osu.ppy.sh/u/2169963","Toenail")</f>
        <v>Toenail</v>
      </c>
      <c r="E83" s="75"/>
      <c r="F83" s="145"/>
      <c r="G83" s="57"/>
      <c r="H83" s="57"/>
      <c r="I83" s="57"/>
      <c r="J83" s="57"/>
      <c r="K83" s="115"/>
      <c r="L83" s="57"/>
      <c r="M83" s="57"/>
      <c r="N83" s="57"/>
      <c r="O83" s="57"/>
      <c r="P83" s="146"/>
      <c r="Q83" s="147"/>
      <c r="R83" s="147"/>
      <c r="S83" s="147"/>
      <c r="T83" s="57"/>
      <c r="U83" s="57"/>
      <c r="V83" s="57"/>
      <c r="W83" s="57"/>
      <c r="X83" s="57"/>
      <c r="Y83" s="57"/>
      <c r="Z83" s="235">
        <v>42736.0</v>
      </c>
      <c r="AA83" s="57"/>
      <c r="AB83" s="57"/>
      <c r="AC83" s="57"/>
      <c r="AD83" s="57"/>
      <c r="AE83" s="57"/>
      <c r="AF83" s="57"/>
      <c r="AG83" s="57"/>
      <c r="AH83" s="57"/>
    </row>
    <row r="84">
      <c r="A84" s="139" t="s">
        <v>533</v>
      </c>
      <c r="B84" s="57" t="s">
        <v>2422</v>
      </c>
      <c r="C84" s="236">
        <v>5428.3</v>
      </c>
      <c r="D84" s="237" t="str">
        <f>HYPERLINK("https://osu.ppy.sh/u/4971646","Walkingson")</f>
        <v>Walkingson</v>
      </c>
      <c r="E84" s="75" t="s">
        <v>28</v>
      </c>
      <c r="F84" s="145"/>
      <c r="G84" s="57"/>
      <c r="H84" s="57"/>
      <c r="I84" s="57"/>
      <c r="J84" s="57"/>
      <c r="K84" s="115"/>
      <c r="L84" s="57"/>
      <c r="M84" s="57"/>
      <c r="N84" s="57"/>
      <c r="O84" s="57"/>
      <c r="P84" s="146"/>
      <c r="Q84" s="147"/>
      <c r="R84" s="147"/>
      <c r="S84" s="14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</row>
    <row r="85">
      <c r="A85" s="139" t="s">
        <v>538</v>
      </c>
      <c r="B85" s="75" t="s">
        <v>2423</v>
      </c>
      <c r="C85" s="242">
        <v>5428.19</v>
      </c>
      <c r="D85" s="243" t="str">
        <f>HYPERLINK("https://osu.ppy.sh/u/3587568","lpsminecraft099")</f>
        <v>lpsminecraft099</v>
      </c>
      <c r="E85" s="75" t="s">
        <v>28</v>
      </c>
      <c r="F85" s="145"/>
      <c r="G85" s="57"/>
      <c r="H85" s="57"/>
      <c r="I85" s="57"/>
      <c r="J85" s="57"/>
      <c r="K85" s="115"/>
      <c r="L85" s="57"/>
      <c r="M85" s="57"/>
      <c r="N85" s="57"/>
      <c r="O85" s="57"/>
      <c r="P85" s="146"/>
      <c r="Q85" s="147"/>
      <c r="R85" s="147"/>
      <c r="S85" s="147"/>
      <c r="T85" s="57"/>
      <c r="U85" s="57"/>
      <c r="V85" s="57"/>
      <c r="W85" s="57"/>
      <c r="X85" s="57"/>
      <c r="Y85" s="57"/>
      <c r="Z85" s="148"/>
      <c r="AA85" s="57"/>
      <c r="AB85" s="57"/>
      <c r="AC85" s="57"/>
      <c r="AD85" s="57"/>
      <c r="AE85" s="57"/>
      <c r="AF85" s="57"/>
      <c r="AG85" s="57"/>
      <c r="AH85" s="57"/>
    </row>
    <row r="86">
      <c r="A86" s="139" t="s">
        <v>543</v>
      </c>
      <c r="B86" s="248" t="s">
        <v>423</v>
      </c>
      <c r="C86" s="249">
        <v>5425.21</v>
      </c>
      <c r="D86" s="250" t="str">
        <f>HYPERLINK("https://osu.ppy.sh/u/880002","dukambe")</f>
        <v>dukambe</v>
      </c>
      <c r="E86" s="57" t="s">
        <v>28</v>
      </c>
      <c r="F86" s="145"/>
      <c r="G86" s="57"/>
      <c r="H86" s="57"/>
      <c r="I86" s="57"/>
      <c r="J86" s="57"/>
      <c r="K86" s="115"/>
      <c r="L86" s="57"/>
      <c r="M86" s="57"/>
      <c r="N86" s="57"/>
      <c r="O86" s="57"/>
      <c r="P86" s="146"/>
      <c r="Q86" s="147"/>
      <c r="R86" s="147"/>
      <c r="S86" s="14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</row>
    <row r="87">
      <c r="A87" s="139" t="s">
        <v>548</v>
      </c>
      <c r="B87" s="256" t="s">
        <v>423</v>
      </c>
      <c r="C87" s="257">
        <v>5423.18</v>
      </c>
      <c r="D87" s="258" t="str">
        <f>HYPERLINK("https://osu.ppy.sh/u/1725067","Siegrein")</f>
        <v>Siegrein</v>
      </c>
      <c r="E87" s="75" t="s">
        <v>28</v>
      </c>
      <c r="F87" s="145"/>
      <c r="G87" s="57"/>
      <c r="H87" s="128"/>
      <c r="I87" s="57"/>
      <c r="J87" s="57"/>
      <c r="K87" s="115"/>
      <c r="L87" s="57"/>
      <c r="M87" s="57"/>
      <c r="N87" s="57"/>
      <c r="O87" s="57"/>
      <c r="P87" s="146"/>
      <c r="Q87" s="147"/>
      <c r="R87" s="147"/>
      <c r="S87" s="14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</row>
    <row r="88">
      <c r="A88" s="139" t="s">
        <v>550</v>
      </c>
      <c r="B88" s="57" t="s">
        <v>2424</v>
      </c>
      <c r="C88" s="236">
        <v>5418.88</v>
      </c>
      <c r="D88" s="237" t="str">
        <f>HYPERLINK("https://osu.ppy.sh/u/2166199","Starry-")</f>
        <v>Starry-</v>
      </c>
      <c r="E88" s="173" t="s">
        <v>28</v>
      </c>
      <c r="F88" s="145"/>
      <c r="G88" s="57"/>
      <c r="H88" s="57"/>
      <c r="I88" s="57"/>
      <c r="J88" s="57"/>
      <c r="K88" s="115"/>
      <c r="L88" s="57"/>
      <c r="M88" s="57"/>
      <c r="N88" s="57"/>
      <c r="O88" s="57"/>
      <c r="P88" s="146"/>
      <c r="Q88" s="147"/>
      <c r="R88" s="147"/>
      <c r="S88" s="147"/>
      <c r="T88" s="57"/>
      <c r="U88" s="57"/>
      <c r="V88" s="57"/>
      <c r="W88" s="57"/>
      <c r="X88" s="57"/>
      <c r="Y88" s="57"/>
      <c r="Z88" s="148"/>
      <c r="AA88" s="57"/>
      <c r="AB88" s="57"/>
      <c r="AC88" s="57"/>
      <c r="AD88" s="57"/>
      <c r="AE88" s="57"/>
      <c r="AF88" s="57"/>
      <c r="AG88" s="57"/>
      <c r="AH88" s="57"/>
    </row>
    <row r="89">
      <c r="A89" s="139" t="s">
        <v>557</v>
      </c>
      <c r="B89" s="57" t="s">
        <v>2425</v>
      </c>
      <c r="C89" s="236">
        <v>5418.25</v>
      </c>
      <c r="D89" s="237" t="str">
        <f>HYPERLINK("https://osu.ppy.sh/u/3502796","tehsoonan")</f>
        <v>tehsoonan</v>
      </c>
      <c r="E89" s="75" t="s">
        <v>28</v>
      </c>
      <c r="F89" s="145"/>
      <c r="G89" s="57"/>
      <c r="H89" s="57"/>
      <c r="I89" s="57"/>
      <c r="J89" s="57"/>
      <c r="K89" s="115"/>
      <c r="L89" s="57"/>
      <c r="M89" s="57"/>
      <c r="N89" s="57"/>
      <c r="O89" s="57"/>
      <c r="P89" s="146"/>
      <c r="Q89" s="147"/>
      <c r="R89" s="147"/>
      <c r="S89" s="14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</row>
    <row r="90">
      <c r="A90" s="139" t="s">
        <v>561</v>
      </c>
      <c r="B90" s="75" t="s">
        <v>2426</v>
      </c>
      <c r="C90" s="242">
        <v>5418.0</v>
      </c>
      <c r="D90" s="243" t="str">
        <f>HYPERLINK("https://osu.ppy.sh/u/4724914","Burito")</f>
        <v>Burito</v>
      </c>
      <c r="E90" s="75" t="s">
        <v>28</v>
      </c>
      <c r="F90" s="145"/>
      <c r="G90" s="57"/>
      <c r="H90" s="57"/>
      <c r="I90" s="57"/>
      <c r="J90" s="57"/>
      <c r="K90" s="115"/>
      <c r="L90" s="57"/>
      <c r="M90" s="57"/>
      <c r="N90" s="57"/>
      <c r="O90" s="57"/>
      <c r="P90" s="146"/>
      <c r="Q90" s="147"/>
      <c r="R90" s="147"/>
      <c r="S90" s="14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</row>
    <row r="91">
      <c r="A91" s="139" t="s">
        <v>563</v>
      </c>
      <c r="B91" s="75" t="s">
        <v>2427</v>
      </c>
      <c r="C91" s="242">
        <v>5410.52</v>
      </c>
      <c r="D91" s="243" t="str">
        <f>HYPERLINK("https://osu.ppy.sh/u/1880309","J V")</f>
        <v>J V</v>
      </c>
      <c r="E91" s="75" t="s">
        <v>28</v>
      </c>
      <c r="F91" s="134">
        <v>400.0</v>
      </c>
      <c r="G91" s="64" t="s">
        <v>29</v>
      </c>
      <c r="H91" s="57" t="s">
        <v>2428</v>
      </c>
      <c r="I91" s="64" t="s">
        <v>404</v>
      </c>
      <c r="J91" s="67" t="s">
        <v>192</v>
      </c>
      <c r="K91" s="115"/>
      <c r="L91" s="75" t="s">
        <v>2429</v>
      </c>
      <c r="M91" s="75" t="s">
        <v>1366</v>
      </c>
      <c r="N91" s="75" t="s">
        <v>179</v>
      </c>
      <c r="O91" s="75" t="s">
        <v>52</v>
      </c>
      <c r="P91" s="146"/>
      <c r="Q91" s="147"/>
      <c r="R91" s="147"/>
      <c r="S91" s="147"/>
      <c r="T91" s="57"/>
      <c r="U91" s="75" t="s">
        <v>2430</v>
      </c>
      <c r="V91" s="75" t="s">
        <v>74</v>
      </c>
      <c r="W91" s="57"/>
      <c r="X91" s="57"/>
      <c r="Y91" s="57"/>
      <c r="Z91" s="235">
        <v>42795.0</v>
      </c>
      <c r="AA91" s="57"/>
      <c r="AB91" s="57"/>
      <c r="AC91" s="57"/>
      <c r="AD91" s="57"/>
      <c r="AE91" s="57"/>
      <c r="AF91" s="57"/>
      <c r="AG91" s="57"/>
      <c r="AH91" s="57"/>
    </row>
    <row r="92">
      <c r="A92" s="139" t="s">
        <v>565</v>
      </c>
      <c r="B92" s="248" t="s">
        <v>423</v>
      </c>
      <c r="C92" s="249">
        <v>5410.52</v>
      </c>
      <c r="D92" s="250" t="str">
        <f>HYPERLINK("https://osu.ppy.sh/u/3170533","daaniegun")</f>
        <v>daaniegun</v>
      </c>
      <c r="E92" s="75" t="s">
        <v>28</v>
      </c>
      <c r="F92" s="145"/>
      <c r="G92" s="57"/>
      <c r="H92" s="57"/>
      <c r="I92" s="57"/>
      <c r="J92" s="57"/>
      <c r="K92" s="115"/>
      <c r="L92" s="57"/>
      <c r="M92" s="57"/>
      <c r="N92" s="57"/>
      <c r="O92" s="57"/>
      <c r="P92" s="146"/>
      <c r="Q92" s="147"/>
      <c r="R92" s="147"/>
      <c r="S92" s="14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</row>
    <row r="93">
      <c r="A93" s="139" t="s">
        <v>567</v>
      </c>
      <c r="B93" s="57" t="s">
        <v>2431</v>
      </c>
      <c r="C93" s="236">
        <v>5409.29</v>
      </c>
      <c r="D93" s="237" t="str">
        <f>HYPERLINK("https://osu.ppy.sh/u/502592","Noobish")</f>
        <v>Noobish</v>
      </c>
      <c r="E93" s="75" t="s">
        <v>28</v>
      </c>
      <c r="F93" s="145"/>
      <c r="G93" s="57"/>
      <c r="H93" s="57"/>
      <c r="I93" s="57"/>
      <c r="J93" s="57"/>
      <c r="K93" s="115"/>
      <c r="L93" s="57"/>
      <c r="M93" s="57"/>
      <c r="N93" s="57"/>
      <c r="O93" s="57"/>
      <c r="P93" s="146"/>
      <c r="Q93" s="147"/>
      <c r="R93" s="147"/>
      <c r="S93" s="14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</row>
    <row r="94">
      <c r="A94" s="139" t="s">
        <v>569</v>
      </c>
      <c r="B94" s="57" t="s">
        <v>2432</v>
      </c>
      <c r="C94" s="236">
        <v>5396.06</v>
      </c>
      <c r="D94" s="237" t="str">
        <f>HYPERLINK("https://osu.ppy.sh/u/3168875","Fendon")</f>
        <v>Fendon</v>
      </c>
      <c r="E94" s="75" t="s">
        <v>28</v>
      </c>
      <c r="F94" s="145"/>
      <c r="G94" s="57"/>
      <c r="H94" s="57"/>
      <c r="I94" s="57"/>
      <c r="J94" s="57"/>
      <c r="K94" s="115"/>
      <c r="L94" s="57"/>
      <c r="M94" s="57"/>
      <c r="N94" s="57"/>
      <c r="O94" s="57"/>
      <c r="P94" s="146"/>
      <c r="Q94" s="147"/>
      <c r="R94" s="147"/>
      <c r="S94" s="14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</row>
    <row r="95">
      <c r="A95" s="139" t="s">
        <v>144</v>
      </c>
      <c r="B95" s="75" t="s">
        <v>2433</v>
      </c>
      <c r="C95" s="242">
        <v>5391.58</v>
      </c>
      <c r="D95" s="243" t="str">
        <f>HYPERLINK("https://osu.ppy.sh/u/6977112","Skie1134")</f>
        <v>Skie1134</v>
      </c>
      <c r="E95" s="75" t="s">
        <v>28</v>
      </c>
      <c r="F95" s="145"/>
      <c r="G95" s="57"/>
      <c r="H95" s="57"/>
      <c r="I95" s="57"/>
      <c r="J95" s="57"/>
      <c r="K95" s="115"/>
      <c r="L95" s="57"/>
      <c r="M95" s="57"/>
      <c r="N95" s="57"/>
      <c r="O95" s="57"/>
      <c r="P95" s="146"/>
      <c r="Q95" s="147"/>
      <c r="R95" s="147"/>
      <c r="S95" s="14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</row>
    <row r="96">
      <c r="A96" s="139" t="s">
        <v>581</v>
      </c>
      <c r="B96" s="57" t="s">
        <v>2434</v>
      </c>
      <c r="C96" s="236">
        <v>5387.3</v>
      </c>
      <c r="D96" s="237" t="str">
        <f>HYPERLINK("https://osu.ppy.sh/u/3590171","Amateras")</f>
        <v>Amateras</v>
      </c>
      <c r="E96" s="75" t="s">
        <v>28</v>
      </c>
      <c r="F96" s="145"/>
      <c r="G96" s="57"/>
      <c r="H96" s="57"/>
      <c r="I96" s="57"/>
      <c r="J96" s="57"/>
      <c r="K96" s="115"/>
      <c r="L96" s="57"/>
      <c r="M96" s="57"/>
      <c r="N96" s="57"/>
      <c r="O96" s="57"/>
      <c r="P96" s="146"/>
      <c r="Q96" s="147"/>
      <c r="R96" s="147"/>
      <c r="S96" s="14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</row>
    <row r="97">
      <c r="A97" s="139" t="s">
        <v>586</v>
      </c>
      <c r="B97" s="41" t="s">
        <v>2435</v>
      </c>
      <c r="C97" s="46">
        <v>5373.25</v>
      </c>
      <c r="D97" s="105" t="str">
        <f>HYPERLINK("https://osu.ppy.sh/u/3994671","Aery")</f>
        <v>Aery</v>
      </c>
      <c r="E97" s="75" t="s">
        <v>28</v>
      </c>
      <c r="F97" s="145"/>
      <c r="G97" s="57"/>
      <c r="H97" s="57"/>
      <c r="I97" s="57"/>
      <c r="J97" s="57"/>
      <c r="K97" s="115"/>
      <c r="L97" s="57"/>
      <c r="M97" s="57"/>
      <c r="N97" s="57"/>
      <c r="O97" s="57"/>
      <c r="P97" s="146"/>
      <c r="Q97" s="147"/>
      <c r="R97" s="147"/>
      <c r="S97" s="14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</row>
    <row r="98">
      <c r="A98" s="139" t="s">
        <v>156</v>
      </c>
      <c r="B98" s="75" t="s">
        <v>2436</v>
      </c>
      <c r="C98" s="242">
        <v>5361.52</v>
      </c>
      <c r="D98" s="243" t="str">
        <f>HYPERLINK("https://osu.ppy.sh/u/418699","fanzhen0019")</f>
        <v>fanzhen0019</v>
      </c>
      <c r="E98" s="57" t="s">
        <v>571</v>
      </c>
      <c r="F98" s="145"/>
      <c r="G98" s="57"/>
      <c r="H98" s="57"/>
      <c r="I98" s="57"/>
      <c r="J98" s="57"/>
      <c r="K98" s="115"/>
      <c r="L98" s="57"/>
      <c r="M98" s="57"/>
      <c r="N98" s="57"/>
      <c r="O98" s="57"/>
      <c r="P98" s="146"/>
      <c r="Q98" s="147"/>
      <c r="R98" s="147"/>
      <c r="S98" s="147"/>
      <c r="T98" s="57"/>
      <c r="U98" s="57"/>
      <c r="V98" s="57"/>
      <c r="W98" s="57"/>
      <c r="X98" s="57"/>
      <c r="Y98" s="57"/>
      <c r="Z98" s="148"/>
      <c r="AA98" s="57"/>
      <c r="AB98" s="57"/>
      <c r="AC98" s="57"/>
      <c r="AD98" s="57"/>
      <c r="AE98" s="57"/>
      <c r="AF98" s="57"/>
      <c r="AG98" s="57"/>
      <c r="AH98" s="57"/>
    </row>
    <row r="99">
      <c r="A99" s="139" t="s">
        <v>590</v>
      </c>
      <c r="B99" s="256" t="s">
        <v>423</v>
      </c>
      <c r="C99" s="257">
        <v>5359.49</v>
      </c>
      <c r="D99" s="258" t="str">
        <f>HYPERLINK("https://osu.ppy.sh/u/782346","Windham")</f>
        <v>Windham</v>
      </c>
      <c r="E99" s="75" t="s">
        <v>28</v>
      </c>
      <c r="F99" s="145"/>
      <c r="G99" s="57"/>
      <c r="H99" s="57"/>
      <c r="I99" s="57"/>
      <c r="J99" s="57"/>
      <c r="K99" s="115"/>
      <c r="L99" s="57"/>
      <c r="M99" s="75" t="s">
        <v>2437</v>
      </c>
      <c r="N99" s="75" t="s">
        <v>2438</v>
      </c>
      <c r="O99" s="57"/>
      <c r="P99" s="146"/>
      <c r="Q99" s="147"/>
      <c r="R99" s="147"/>
      <c r="S99" s="147"/>
      <c r="T99" s="57"/>
      <c r="U99" s="75" t="s">
        <v>668</v>
      </c>
      <c r="V99" s="75" t="s">
        <v>44</v>
      </c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</row>
    <row r="100">
      <c r="A100" s="139" t="s">
        <v>592</v>
      </c>
      <c r="B100" s="57" t="s">
        <v>2439</v>
      </c>
      <c r="C100" s="236">
        <v>5359.23</v>
      </c>
      <c r="D100" s="237" t="str">
        <f>HYPERLINK("https://osu.ppy.sh/u/1762176","Toxic DT Player")</f>
        <v>Toxic DT Player</v>
      </c>
      <c r="E100" s="75" t="s">
        <v>28</v>
      </c>
      <c r="F100" s="145"/>
      <c r="G100" s="57"/>
      <c r="H100" s="57"/>
      <c r="I100" s="57"/>
      <c r="J100" s="57"/>
      <c r="K100" s="115"/>
      <c r="L100" s="57"/>
      <c r="M100" s="57"/>
      <c r="N100" s="57"/>
      <c r="O100" s="57"/>
      <c r="P100" s="146"/>
      <c r="Q100" s="147"/>
      <c r="R100" s="147"/>
      <c r="S100" s="14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</row>
    <row r="101">
      <c r="A101" s="139" t="s">
        <v>598</v>
      </c>
      <c r="B101" s="57" t="s">
        <v>2130</v>
      </c>
      <c r="C101" s="236">
        <v>5358.05</v>
      </c>
      <c r="D101" s="237" t="str">
        <f>HYPERLINK("https://osu.ppy.sh/u/4661991","[Shizuru]")</f>
        <v>[Shizuru]</v>
      </c>
      <c r="E101" s="75" t="s">
        <v>28</v>
      </c>
      <c r="F101" s="145"/>
      <c r="G101" s="57"/>
      <c r="H101" s="57"/>
      <c r="I101" s="57"/>
      <c r="J101" s="57"/>
      <c r="K101" s="115"/>
      <c r="L101" s="57"/>
      <c r="M101" s="57"/>
      <c r="N101" s="57"/>
      <c r="O101" s="57"/>
      <c r="P101" s="146"/>
      <c r="Q101" s="147"/>
      <c r="R101" s="147"/>
      <c r="S101" s="14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</row>
    <row r="102">
      <c r="A102" s="139" t="s">
        <v>601</v>
      </c>
      <c r="B102" s="75" t="s">
        <v>2440</v>
      </c>
      <c r="C102" s="242">
        <v>5350.3</v>
      </c>
      <c r="D102" s="243" t="str">
        <f>HYPERLINK("https://osu.ppy.sh/u/2946715","My Angel Rize")</f>
        <v>My Angel Rize</v>
      </c>
      <c r="E102" s="75" t="s">
        <v>28</v>
      </c>
      <c r="F102" s="145"/>
      <c r="G102" s="57"/>
      <c r="H102" s="57"/>
      <c r="I102" s="57"/>
      <c r="J102" s="57"/>
      <c r="K102" s="115"/>
      <c r="L102" s="57"/>
      <c r="M102" s="57"/>
      <c r="N102" s="57"/>
      <c r="O102" s="57"/>
      <c r="P102" s="146"/>
      <c r="Q102" s="147"/>
      <c r="R102" s="147"/>
      <c r="S102" s="14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</row>
    <row r="103">
      <c r="A103" s="139" t="s">
        <v>163</v>
      </c>
      <c r="B103" s="57" t="s">
        <v>2441</v>
      </c>
      <c r="C103" s="236">
        <v>5344.57</v>
      </c>
      <c r="D103" s="237" t="str">
        <f>HYPERLINK("https://osu.ppy.sh/u/441380","ethox")</f>
        <v>ethox</v>
      </c>
      <c r="E103" s="75" t="s">
        <v>571</v>
      </c>
      <c r="F103" s="100">
        <v>800.0</v>
      </c>
      <c r="G103" s="128" t="s">
        <v>29</v>
      </c>
      <c r="H103" s="128" t="s">
        <v>67</v>
      </c>
      <c r="I103" s="128" t="s">
        <v>311</v>
      </c>
      <c r="J103" s="129" t="s">
        <v>32</v>
      </c>
      <c r="K103" s="115"/>
      <c r="L103" s="57"/>
      <c r="M103" s="57" t="s">
        <v>1548</v>
      </c>
      <c r="N103" s="57" t="s">
        <v>61</v>
      </c>
      <c r="O103" s="57"/>
      <c r="P103" s="146"/>
      <c r="Q103" s="147"/>
      <c r="R103" s="147"/>
      <c r="S103" s="147"/>
      <c r="T103" s="57"/>
      <c r="U103" s="160" t="s">
        <v>1744</v>
      </c>
      <c r="V103" s="57"/>
      <c r="W103" s="57"/>
      <c r="X103" s="57"/>
      <c r="Y103" s="57"/>
      <c r="Z103" s="235">
        <v>42887.0</v>
      </c>
      <c r="AA103" s="57"/>
      <c r="AB103" s="57"/>
      <c r="AC103" s="57"/>
      <c r="AD103" s="57"/>
      <c r="AE103" s="57"/>
      <c r="AF103" s="57"/>
      <c r="AG103" s="57"/>
      <c r="AH103" s="57"/>
    </row>
    <row r="104">
      <c r="A104" s="139" t="s">
        <v>610</v>
      </c>
      <c r="B104" s="41" t="s">
        <v>2442</v>
      </c>
      <c r="C104" s="46">
        <v>5337.39</v>
      </c>
      <c r="D104" s="105" t="str">
        <f>HYPERLINK("https://osu.ppy.sh/u/672931","TicClick")</f>
        <v>TicClick</v>
      </c>
      <c r="E104" s="75" t="s">
        <v>28</v>
      </c>
      <c r="F104" s="145"/>
      <c r="G104" s="57"/>
      <c r="H104" s="57"/>
      <c r="I104" s="57"/>
      <c r="J104" s="57"/>
      <c r="K104" s="115"/>
      <c r="L104" s="57"/>
      <c r="M104" s="57"/>
      <c r="N104" s="57"/>
      <c r="O104" s="57"/>
      <c r="P104" s="146"/>
      <c r="Q104" s="147"/>
      <c r="R104" s="147"/>
      <c r="S104" s="14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</row>
    <row r="105">
      <c r="A105" s="139" t="s">
        <v>615</v>
      </c>
      <c r="B105" s="57" t="s">
        <v>2443</v>
      </c>
      <c r="C105" s="236">
        <v>5329.05</v>
      </c>
      <c r="D105" s="237" t="str">
        <f>HYPERLINK("https://osu.ppy.sh/u/4305359","Kaiden Mikami")</f>
        <v>Kaiden Mikami</v>
      </c>
      <c r="E105" s="75" t="s">
        <v>28</v>
      </c>
      <c r="F105" s="100" t="s">
        <v>77</v>
      </c>
      <c r="G105" s="128" t="s">
        <v>29</v>
      </c>
      <c r="H105" s="128" t="s">
        <v>1572</v>
      </c>
      <c r="I105" s="128" t="s">
        <v>267</v>
      </c>
      <c r="J105" s="57"/>
      <c r="K105" s="82" t="s">
        <v>81</v>
      </c>
      <c r="L105" s="57" t="s">
        <v>318</v>
      </c>
      <c r="M105" s="57" t="s">
        <v>389</v>
      </c>
      <c r="N105" s="57" t="s">
        <v>2444</v>
      </c>
      <c r="O105" s="75" t="s">
        <v>391</v>
      </c>
      <c r="P105" s="50">
        <v>103.0</v>
      </c>
      <c r="Q105" s="51">
        <v>136.0</v>
      </c>
      <c r="R105" s="51">
        <v>72.0</v>
      </c>
      <c r="S105" s="51">
        <v>41.0</v>
      </c>
      <c r="T105" s="75" t="s">
        <v>42</v>
      </c>
      <c r="U105" s="57" t="s">
        <v>2445</v>
      </c>
      <c r="V105" s="57" t="s">
        <v>63</v>
      </c>
      <c r="W105" s="57"/>
      <c r="X105" s="57"/>
      <c r="Y105" s="57"/>
      <c r="Z105" s="235">
        <v>43070.0</v>
      </c>
      <c r="AA105" s="57"/>
      <c r="AB105" s="57"/>
      <c r="AC105" s="57"/>
      <c r="AD105" s="57"/>
      <c r="AE105" s="57"/>
      <c r="AF105" s="57"/>
      <c r="AG105" s="57"/>
      <c r="AH105" s="57"/>
    </row>
    <row r="106">
      <c r="A106" s="139" t="s">
        <v>170</v>
      </c>
      <c r="B106" s="57" t="s">
        <v>2446</v>
      </c>
      <c r="C106" s="236">
        <v>5321.7</v>
      </c>
      <c r="D106" s="237" t="str">
        <f>HYPERLINK("https://osu.ppy.sh/u/454420","Pokarisuetto")</f>
        <v>Pokarisuetto</v>
      </c>
      <c r="E106" s="75" t="s">
        <v>571</v>
      </c>
      <c r="F106" s="145"/>
      <c r="G106" s="57"/>
      <c r="H106" s="57"/>
      <c r="I106" s="57"/>
      <c r="J106" s="57"/>
      <c r="K106" s="115"/>
      <c r="L106" s="57"/>
      <c r="M106" s="57"/>
      <c r="N106" s="57"/>
      <c r="O106" s="57"/>
      <c r="P106" s="146"/>
      <c r="Q106" s="147"/>
      <c r="R106" s="147"/>
      <c r="S106" s="14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</row>
    <row r="107">
      <c r="A107" s="139" t="s">
        <v>626</v>
      </c>
      <c r="B107" s="256" t="s">
        <v>423</v>
      </c>
      <c r="C107" s="257">
        <v>5288.17</v>
      </c>
      <c r="D107" s="258" t="str">
        <f>HYPERLINK("https://osu.ppy.sh/u/2954937","Pacze")</f>
        <v>Pacze</v>
      </c>
      <c r="E107" s="75" t="s">
        <v>571</v>
      </c>
      <c r="F107" s="145"/>
      <c r="G107" s="57"/>
      <c r="H107" s="57"/>
      <c r="I107" s="57"/>
      <c r="J107" s="57"/>
      <c r="K107" s="115"/>
      <c r="L107" s="57"/>
      <c r="M107" s="57"/>
      <c r="N107" s="57"/>
      <c r="O107" s="57"/>
      <c r="P107" s="146"/>
      <c r="Q107" s="147"/>
      <c r="R107" s="147"/>
      <c r="S107" s="14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</row>
    <row r="108">
      <c r="A108" s="139" t="s">
        <v>629</v>
      </c>
      <c r="B108" s="57" t="s">
        <v>2447</v>
      </c>
      <c r="C108" s="236">
        <v>5279.48</v>
      </c>
      <c r="D108" s="237" t="str">
        <f>HYPERLINK("https://osu.ppy.sh/u/1090028","Citrus_Tea")</f>
        <v>Citrus_Tea</v>
      </c>
      <c r="E108" s="75" t="s">
        <v>28</v>
      </c>
      <c r="F108" s="100">
        <v>1600.0</v>
      </c>
      <c r="G108" s="128" t="s">
        <v>78</v>
      </c>
      <c r="H108" s="128" t="s">
        <v>620</v>
      </c>
      <c r="I108" s="128" t="s">
        <v>31</v>
      </c>
      <c r="J108" s="129" t="s">
        <v>32</v>
      </c>
      <c r="K108" s="115"/>
      <c r="L108" s="57"/>
      <c r="M108" s="57" t="s">
        <v>2448</v>
      </c>
      <c r="N108" s="57" t="s">
        <v>2449</v>
      </c>
      <c r="O108" s="57"/>
      <c r="P108" s="146"/>
      <c r="Q108" s="147"/>
      <c r="R108" s="147"/>
      <c r="S108" s="147"/>
      <c r="T108" s="57"/>
      <c r="U108" s="57" t="s">
        <v>409</v>
      </c>
      <c r="V108" s="57" t="s">
        <v>74</v>
      </c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</row>
    <row r="109">
      <c r="A109" s="139" t="s">
        <v>633</v>
      </c>
      <c r="B109" s="75" t="s">
        <v>2450</v>
      </c>
      <c r="C109" s="242">
        <v>5267.37</v>
      </c>
      <c r="D109" s="243" t="str">
        <f>HYPERLINK("https://osu.ppy.sh/u/1365500","mithral")</f>
        <v>mithral</v>
      </c>
      <c r="E109" s="75" t="s">
        <v>28</v>
      </c>
      <c r="F109" s="100">
        <v>800.0</v>
      </c>
      <c r="G109" s="128" t="s">
        <v>1172</v>
      </c>
      <c r="H109" s="128" t="s">
        <v>67</v>
      </c>
      <c r="I109" s="57"/>
      <c r="J109" s="57"/>
      <c r="K109" s="115">
        <v>1000.0</v>
      </c>
      <c r="L109" s="57"/>
      <c r="M109" s="57" t="s">
        <v>396</v>
      </c>
      <c r="N109" s="57" t="s">
        <v>604</v>
      </c>
      <c r="O109" s="57" t="s">
        <v>52</v>
      </c>
      <c r="P109" s="79">
        <v>85.0</v>
      </c>
      <c r="Q109" s="80">
        <v>124.0</v>
      </c>
      <c r="R109" s="80">
        <v>58.0</v>
      </c>
      <c r="S109" s="80">
        <v>36.0</v>
      </c>
      <c r="T109" s="57"/>
      <c r="U109" s="57" t="s">
        <v>168</v>
      </c>
      <c r="V109" s="57" t="s">
        <v>74</v>
      </c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</row>
    <row r="110">
      <c r="A110" s="139" t="s">
        <v>634</v>
      </c>
      <c r="B110" s="75" t="s">
        <v>2451</v>
      </c>
      <c r="C110" s="242">
        <v>5233.31</v>
      </c>
      <c r="D110" s="243" t="str">
        <f>HYPERLINK("https://osu.ppy.sh/u/3752426","Golrin")</f>
        <v>Golrin</v>
      </c>
      <c r="E110" s="57" t="s">
        <v>28</v>
      </c>
      <c r="F110" s="100" t="s">
        <v>47</v>
      </c>
      <c r="G110" s="128" t="s">
        <v>2148</v>
      </c>
      <c r="H110" s="128" t="s">
        <v>67</v>
      </c>
      <c r="I110" s="128" t="s">
        <v>31</v>
      </c>
      <c r="J110" s="129" t="s">
        <v>192</v>
      </c>
      <c r="K110" s="82" t="s">
        <v>1029</v>
      </c>
      <c r="L110" s="57" t="s">
        <v>2452</v>
      </c>
      <c r="M110" s="57" t="s">
        <v>2453</v>
      </c>
      <c r="N110" s="57" t="s">
        <v>2454</v>
      </c>
      <c r="O110" s="57"/>
      <c r="P110" s="146"/>
      <c r="Q110" s="147"/>
      <c r="R110" s="147"/>
      <c r="S110" s="147"/>
      <c r="T110" s="57"/>
      <c r="U110" s="57"/>
      <c r="V110" s="57"/>
      <c r="W110" s="57"/>
      <c r="X110" s="57"/>
      <c r="Y110" s="57"/>
      <c r="Z110" s="148"/>
      <c r="AA110" s="57"/>
      <c r="AB110" s="57"/>
      <c r="AC110" s="57"/>
      <c r="AD110" s="57"/>
      <c r="AE110" s="57"/>
      <c r="AF110" s="57"/>
      <c r="AG110" s="57"/>
      <c r="AH110" s="57"/>
    </row>
    <row r="111">
      <c r="A111" s="139" t="s">
        <v>636</v>
      </c>
      <c r="B111" s="256" t="s">
        <v>423</v>
      </c>
      <c r="C111" s="257">
        <v>5227.24</v>
      </c>
      <c r="D111" s="258" t="str">
        <f>HYPERLINK("https://osu.ppy.sh/u/1089803","Nucoin")</f>
        <v>Nucoin</v>
      </c>
      <c r="E111" s="75" t="s">
        <v>28</v>
      </c>
      <c r="F111" s="145"/>
      <c r="G111" s="57"/>
      <c r="H111" s="57"/>
      <c r="I111" s="57"/>
      <c r="J111" s="57"/>
      <c r="K111" s="115"/>
      <c r="L111" s="57"/>
      <c r="M111" s="57"/>
      <c r="N111" s="57"/>
      <c r="O111" s="57"/>
      <c r="P111" s="146"/>
      <c r="Q111" s="147"/>
      <c r="R111" s="147"/>
      <c r="S111" s="14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</row>
    <row r="112">
      <c r="A112" s="139" t="s">
        <v>638</v>
      </c>
      <c r="B112" s="57" t="s">
        <v>2455</v>
      </c>
      <c r="C112" s="236">
        <v>5171.25</v>
      </c>
      <c r="D112" s="237" t="str">
        <f>HYPERLINK("https://osu.ppy.sh/u/6139582","620")</f>
        <v>620</v>
      </c>
      <c r="E112" s="75" t="s">
        <v>372</v>
      </c>
      <c r="F112" s="134">
        <v>400.0</v>
      </c>
      <c r="G112" s="64" t="s">
        <v>2456</v>
      </c>
      <c r="H112" s="64" t="s">
        <v>137</v>
      </c>
      <c r="I112" s="64" t="s">
        <v>31</v>
      </c>
      <c r="J112" s="67" t="s">
        <v>32</v>
      </c>
      <c r="K112" s="115"/>
      <c r="L112" s="75" t="s">
        <v>2457</v>
      </c>
      <c r="M112" s="75" t="s">
        <v>485</v>
      </c>
      <c r="N112" s="57"/>
      <c r="O112" s="75" t="s">
        <v>52</v>
      </c>
      <c r="P112" s="50">
        <v>130.0</v>
      </c>
      <c r="Q112" s="51">
        <v>133.0</v>
      </c>
      <c r="R112" s="51">
        <v>70.0</v>
      </c>
      <c r="S112" s="51">
        <v>46.0</v>
      </c>
      <c r="T112" s="75" t="s">
        <v>218</v>
      </c>
      <c r="U112" s="57"/>
      <c r="V112" s="57"/>
      <c r="W112" s="57"/>
      <c r="X112" s="57"/>
      <c r="Y112" s="57"/>
      <c r="Z112" s="235">
        <v>42736.0</v>
      </c>
      <c r="AA112" s="57"/>
      <c r="AB112" s="57"/>
      <c r="AC112" s="57"/>
      <c r="AD112" s="57"/>
      <c r="AE112" s="57"/>
      <c r="AF112" s="57"/>
      <c r="AG112" s="57"/>
      <c r="AH112" s="57"/>
    </row>
    <row r="113">
      <c r="A113" s="139" t="s">
        <v>642</v>
      </c>
      <c r="B113" s="75" t="s">
        <v>2458</v>
      </c>
      <c r="C113" s="242">
        <v>5155.51</v>
      </c>
      <c r="D113" s="243" t="str">
        <f>HYPERLINK("https://osu.ppy.sh/u/145851","azuraer")</f>
        <v>azuraer</v>
      </c>
      <c r="E113" s="75" t="s">
        <v>571</v>
      </c>
      <c r="F113" s="134">
        <v>400.0</v>
      </c>
      <c r="G113" s="64" t="s">
        <v>29</v>
      </c>
      <c r="H113" s="64" t="s">
        <v>424</v>
      </c>
      <c r="I113" s="64" t="s">
        <v>311</v>
      </c>
      <c r="J113" s="67" t="s">
        <v>192</v>
      </c>
      <c r="K113" s="90">
        <v>125.0</v>
      </c>
      <c r="L113" s="75" t="s">
        <v>1947</v>
      </c>
      <c r="M113" s="75" t="s">
        <v>1905</v>
      </c>
      <c r="N113" s="75" t="s">
        <v>2459</v>
      </c>
      <c r="O113" s="75" t="s">
        <v>1423</v>
      </c>
      <c r="P113" s="50">
        <v>103.0</v>
      </c>
      <c r="Q113" s="51">
        <v>132.0</v>
      </c>
      <c r="R113" s="51">
        <v>69.0</v>
      </c>
      <c r="S113" s="51">
        <v>44.0</v>
      </c>
      <c r="T113" s="75" t="s">
        <v>1906</v>
      </c>
      <c r="U113" s="133" t="s">
        <v>2460</v>
      </c>
      <c r="V113" s="133" t="s">
        <v>89</v>
      </c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</row>
    <row r="114">
      <c r="A114" s="139" t="s">
        <v>646</v>
      </c>
      <c r="B114" s="248" t="s">
        <v>423</v>
      </c>
      <c r="C114" s="249">
        <v>5151.69</v>
      </c>
      <c r="D114" s="250" t="str">
        <f>HYPERLINK("https://osu.ppy.sh/u/3815634","ssizran")</f>
        <v>ssizran</v>
      </c>
      <c r="E114" s="75" t="s">
        <v>571</v>
      </c>
      <c r="F114" s="145"/>
      <c r="G114" s="57"/>
      <c r="H114" s="57"/>
      <c r="I114" s="57"/>
      <c r="J114" s="57"/>
      <c r="K114" s="115"/>
      <c r="L114" s="57"/>
      <c r="M114" s="57"/>
      <c r="N114" s="57"/>
      <c r="O114" s="57"/>
      <c r="P114" s="146"/>
      <c r="Q114" s="147"/>
      <c r="R114" s="147"/>
      <c r="S114" s="14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</row>
    <row r="115">
      <c r="A115" s="139" t="s">
        <v>653</v>
      </c>
      <c r="B115" s="75" t="s">
        <v>2461</v>
      </c>
      <c r="C115" s="242">
        <v>5130.13</v>
      </c>
      <c r="D115" s="243" t="str">
        <f>HYPERLINK("https://osu.ppy.sh/u/539876","- Z e o n -")</f>
        <v>- Z e o n -</v>
      </c>
      <c r="E115" s="75" t="s">
        <v>28</v>
      </c>
      <c r="F115" s="145"/>
      <c r="G115" s="57"/>
      <c r="H115" s="57"/>
      <c r="I115" s="57"/>
      <c r="J115" s="57"/>
      <c r="K115" s="115"/>
      <c r="L115" s="57"/>
      <c r="M115" s="57"/>
      <c r="N115" s="57"/>
      <c r="O115" s="57"/>
      <c r="P115" s="146"/>
      <c r="Q115" s="147"/>
      <c r="R115" s="147"/>
      <c r="S115" s="147"/>
      <c r="T115" s="57"/>
      <c r="U115" s="57"/>
      <c r="V115" s="57"/>
      <c r="W115" s="57"/>
      <c r="X115" s="57"/>
      <c r="Y115" s="57"/>
      <c r="Z115" s="148"/>
      <c r="AA115" s="57"/>
      <c r="AB115" s="57"/>
      <c r="AC115" s="57"/>
      <c r="AD115" s="57"/>
      <c r="AE115" s="57"/>
      <c r="AF115" s="57"/>
      <c r="AG115" s="57"/>
      <c r="AH115" s="57"/>
    </row>
    <row r="116">
      <c r="A116" s="139" t="s">
        <v>656</v>
      </c>
      <c r="B116" s="75" t="s">
        <v>2462</v>
      </c>
      <c r="C116" s="242">
        <v>5115.48</v>
      </c>
      <c r="D116" s="243" t="str">
        <f>HYPERLINK("https://osu.ppy.sh/u/311550","hopperhtkn")</f>
        <v>hopperhtkn</v>
      </c>
      <c r="E116" s="75" t="s">
        <v>28</v>
      </c>
      <c r="F116" s="145"/>
      <c r="G116" s="57"/>
      <c r="H116" s="57"/>
      <c r="I116" s="57"/>
      <c r="J116" s="57"/>
      <c r="K116" s="115"/>
      <c r="L116" s="57"/>
      <c r="M116" s="57"/>
      <c r="N116" s="57"/>
      <c r="O116" s="57"/>
      <c r="P116" s="146"/>
      <c r="Q116" s="147"/>
      <c r="R116" s="147"/>
      <c r="S116" s="14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</row>
    <row r="117">
      <c r="A117" s="139" t="s">
        <v>660</v>
      </c>
      <c r="B117" s="57" t="s">
        <v>2463</v>
      </c>
      <c r="C117" s="236">
        <v>5082.7</v>
      </c>
      <c r="D117" s="237" t="str">
        <f>HYPERLINK("https://osu.ppy.sh/u/1001464","-Tumugi")</f>
        <v>-Tumugi</v>
      </c>
      <c r="E117" s="75" t="s">
        <v>571</v>
      </c>
      <c r="F117" s="145"/>
      <c r="G117" s="57"/>
      <c r="H117" s="57"/>
      <c r="I117" s="57"/>
      <c r="J117" s="57"/>
      <c r="K117" s="115"/>
      <c r="L117" s="57"/>
      <c r="M117" s="57"/>
      <c r="N117" s="57"/>
      <c r="O117" s="57"/>
      <c r="P117" s="146"/>
      <c r="Q117" s="147"/>
      <c r="R117" s="147"/>
      <c r="S117" s="14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</row>
    <row r="118">
      <c r="A118" s="139" t="s">
        <v>664</v>
      </c>
      <c r="B118" s="75" t="s">
        <v>2464</v>
      </c>
      <c r="C118" s="242">
        <v>5077.84</v>
      </c>
      <c r="D118" s="243" t="str">
        <f>HYPERLINK("https://osu.ppy.sh/u/1171195","mikimari")</f>
        <v>mikimari</v>
      </c>
      <c r="E118" s="75" t="s">
        <v>571</v>
      </c>
      <c r="F118" s="145"/>
      <c r="G118" s="57"/>
      <c r="H118" s="57"/>
      <c r="I118" s="57"/>
      <c r="J118" s="57"/>
      <c r="K118" s="115"/>
      <c r="L118" s="57"/>
      <c r="M118" s="57"/>
      <c r="N118" s="57"/>
      <c r="O118" s="196"/>
      <c r="P118" s="255"/>
      <c r="Q118" s="207"/>
      <c r="R118" s="207"/>
      <c r="S118" s="207"/>
      <c r="T118" s="196"/>
      <c r="U118" s="57"/>
      <c r="V118" s="57"/>
      <c r="W118" s="57"/>
      <c r="X118" s="57"/>
      <c r="Y118" s="57"/>
      <c r="Z118" s="148"/>
      <c r="AA118" s="57"/>
      <c r="AB118" s="57"/>
      <c r="AC118" s="57"/>
      <c r="AD118" s="57"/>
      <c r="AE118" s="57"/>
      <c r="AF118" s="57"/>
      <c r="AG118" s="57"/>
      <c r="AH118" s="57"/>
    </row>
    <row r="119">
      <c r="A119" s="139" t="s">
        <v>669</v>
      </c>
      <c r="B119" s="75" t="s">
        <v>2465</v>
      </c>
      <c r="C119" s="242">
        <v>5063.27</v>
      </c>
      <c r="D119" s="243" t="str">
        <f>HYPERLINK("https://osu.ppy.sh/u/800034","E m p t y")</f>
        <v>E m p t y</v>
      </c>
      <c r="E119" s="75" t="s">
        <v>571</v>
      </c>
      <c r="F119" s="145"/>
      <c r="G119" s="57"/>
      <c r="H119" s="57"/>
      <c r="I119" s="57"/>
      <c r="J119" s="57"/>
      <c r="K119" s="115"/>
      <c r="L119" s="57"/>
      <c r="M119" s="57"/>
      <c r="N119" s="57"/>
      <c r="O119" s="57"/>
      <c r="P119" s="146"/>
      <c r="Q119" s="147"/>
      <c r="R119" s="147"/>
      <c r="S119" s="14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</row>
    <row r="120">
      <c r="A120" s="139" t="s">
        <v>671</v>
      </c>
      <c r="B120" s="57" t="s">
        <v>2466</v>
      </c>
      <c r="C120" s="236">
        <v>5058.9</v>
      </c>
      <c r="D120" s="237" t="str">
        <f>HYPERLINK("https://osu.ppy.sh/u/497847","Gotori")</f>
        <v>Gotori</v>
      </c>
      <c r="E120" s="75" t="s">
        <v>571</v>
      </c>
      <c r="F120" s="100" t="s">
        <v>105</v>
      </c>
      <c r="G120" s="128" t="s">
        <v>29</v>
      </c>
      <c r="H120" s="57"/>
      <c r="I120" s="128" t="s">
        <v>2467</v>
      </c>
      <c r="J120" s="129" t="s">
        <v>192</v>
      </c>
      <c r="K120" s="115" t="s">
        <v>33</v>
      </c>
      <c r="L120" s="57"/>
      <c r="M120" s="57" t="s">
        <v>830</v>
      </c>
      <c r="N120" s="57" t="s">
        <v>179</v>
      </c>
      <c r="O120" s="57"/>
      <c r="P120" s="146"/>
      <c r="Q120" s="147"/>
      <c r="R120" s="147"/>
      <c r="S120" s="14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</row>
    <row r="121">
      <c r="A121" s="139" t="s">
        <v>675</v>
      </c>
      <c r="B121" s="102" t="s">
        <v>423</v>
      </c>
      <c r="C121" s="257">
        <v>5058.78</v>
      </c>
      <c r="D121" s="138" t="str">
        <f>HYPERLINK("https://osu.ppy.sh/u/127811","sasukettya")</f>
        <v>sasukettya</v>
      </c>
      <c r="E121" s="75" t="s">
        <v>28</v>
      </c>
      <c r="F121" s="145"/>
      <c r="G121" s="57"/>
      <c r="H121" s="57"/>
      <c r="I121" s="57"/>
      <c r="J121" s="57"/>
      <c r="K121" s="115"/>
      <c r="L121" s="57"/>
      <c r="M121" s="57"/>
      <c r="N121" s="57"/>
      <c r="O121" s="57"/>
      <c r="P121" s="146"/>
      <c r="Q121" s="147"/>
      <c r="R121" s="147"/>
      <c r="S121" s="14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</row>
    <row r="122">
      <c r="A122" s="81" t="s">
        <v>1917</v>
      </c>
      <c r="B122" s="1" t="s">
        <v>2468</v>
      </c>
      <c r="C122" s="33">
        <v>6646.66</v>
      </c>
      <c r="D122" s="34" t="str">
        <f>HYPERLINK("https://osu.ppy.sh/u/3594509","-KazZzee-")</f>
        <v>-KazZzee-</v>
      </c>
      <c r="E122" s="41" t="s">
        <v>28</v>
      </c>
      <c r="F122" s="145"/>
      <c r="G122" s="57"/>
      <c r="H122" s="57"/>
      <c r="I122" s="57"/>
      <c r="J122" s="57"/>
      <c r="K122" s="115"/>
      <c r="L122" s="57"/>
      <c r="M122" s="57"/>
      <c r="N122" s="57"/>
      <c r="O122" s="57"/>
      <c r="P122" s="146"/>
      <c r="Q122" s="147"/>
      <c r="R122" s="147"/>
      <c r="S122" s="147"/>
      <c r="T122" s="57"/>
      <c r="U122" s="57"/>
      <c r="V122" s="57"/>
      <c r="W122" s="57"/>
      <c r="X122" s="57"/>
      <c r="Y122" s="57"/>
      <c r="Z122" s="148"/>
      <c r="AA122" s="57"/>
    </row>
    <row r="123">
      <c r="A123" s="81" t="s">
        <v>1919</v>
      </c>
      <c r="B123" s="41" t="s">
        <v>2469</v>
      </c>
      <c r="C123" s="46">
        <v>6631.3</v>
      </c>
      <c r="D123" s="62" t="str">
        <f>HYPERLINK("https://osu.ppy.sh/u/2164888","hhjkl")</f>
        <v>hhjkl</v>
      </c>
      <c r="E123" s="52" t="s">
        <v>28</v>
      </c>
      <c r="F123" s="36" t="s">
        <v>47</v>
      </c>
      <c r="G123" s="37" t="s">
        <v>29</v>
      </c>
      <c r="H123" s="37" t="s">
        <v>67</v>
      </c>
      <c r="I123" s="37" t="s">
        <v>421</v>
      </c>
      <c r="J123" s="38" t="s">
        <v>32</v>
      </c>
      <c r="K123" s="39" t="s">
        <v>81</v>
      </c>
      <c r="L123" s="40" t="s">
        <v>1377</v>
      </c>
      <c r="M123" s="40" t="s">
        <v>2065</v>
      </c>
      <c r="N123" s="40" t="s">
        <v>2470</v>
      </c>
      <c r="O123" s="69"/>
      <c r="P123" s="79"/>
      <c r="Q123" s="80"/>
      <c r="R123" s="80"/>
      <c r="S123" s="80"/>
      <c r="T123" s="69"/>
      <c r="U123" s="40" t="s">
        <v>188</v>
      </c>
      <c r="V123" s="40" t="s">
        <v>89</v>
      </c>
      <c r="Z123" s="45">
        <v>43221.0</v>
      </c>
      <c r="AA123" s="57"/>
    </row>
    <row r="124">
      <c r="A124" s="81" t="s">
        <v>1922</v>
      </c>
      <c r="B124" s="41" t="s">
        <v>2471</v>
      </c>
      <c r="C124" s="46">
        <v>6623.06</v>
      </c>
      <c r="D124" s="47" t="str">
        <f>HYPERLINK("https://osu.ppy.sh/u/4459994","ZheBait")</f>
        <v>ZheBait</v>
      </c>
      <c r="E124" s="52" t="s">
        <v>28</v>
      </c>
      <c r="F124" s="36" t="s">
        <v>47</v>
      </c>
      <c r="G124" s="37" t="s">
        <v>29</v>
      </c>
      <c r="H124" s="37" t="s">
        <v>1234</v>
      </c>
      <c r="I124" s="37" t="s">
        <v>31</v>
      </c>
      <c r="J124" s="38" t="s">
        <v>32</v>
      </c>
      <c r="K124" s="39" t="s">
        <v>33</v>
      </c>
      <c r="L124" s="40" t="s">
        <v>1460</v>
      </c>
      <c r="M124" s="40" t="s">
        <v>2472</v>
      </c>
      <c r="N124" s="40" t="s">
        <v>1346</v>
      </c>
      <c r="O124" s="69"/>
      <c r="P124" s="79"/>
      <c r="Q124" s="80"/>
      <c r="R124" s="80"/>
      <c r="S124" s="80"/>
      <c r="T124" s="69"/>
      <c r="U124" s="40" t="s">
        <v>2473</v>
      </c>
      <c r="V124" s="40" t="s">
        <v>899</v>
      </c>
      <c r="Z124" s="45">
        <v>43405.0</v>
      </c>
      <c r="AA124" s="57"/>
    </row>
    <row r="125">
      <c r="A125" s="81" t="s">
        <v>1925</v>
      </c>
      <c r="B125" s="41" t="s">
        <v>2474</v>
      </c>
      <c r="C125" s="46">
        <v>6620.28</v>
      </c>
      <c r="D125" s="62" t="str">
        <f>HYPERLINK("https://osu.ppy.sh/u/6950777","force-a-nature")</f>
        <v>force-a-nature</v>
      </c>
      <c r="E125" s="41" t="s">
        <v>28</v>
      </c>
      <c r="F125" s="58" t="s">
        <v>105</v>
      </c>
      <c r="G125" s="53"/>
      <c r="H125" s="48" t="s">
        <v>67</v>
      </c>
      <c r="I125" s="66" t="s">
        <v>31</v>
      </c>
      <c r="J125" s="54"/>
      <c r="K125" s="136" t="s">
        <v>81</v>
      </c>
      <c r="M125" s="1" t="s">
        <v>288</v>
      </c>
      <c r="N125" s="1" t="s">
        <v>2012</v>
      </c>
      <c r="O125" s="41" t="s">
        <v>109</v>
      </c>
      <c r="P125" s="42">
        <v>85.0</v>
      </c>
      <c r="Q125" s="43">
        <v>117.0</v>
      </c>
      <c r="R125" s="43">
        <v>62.0</v>
      </c>
      <c r="S125" s="43">
        <v>38.0</v>
      </c>
      <c r="T125" s="40" t="s">
        <v>42</v>
      </c>
      <c r="U125" s="1" t="s">
        <v>2475</v>
      </c>
      <c r="V125" s="1" t="s">
        <v>2476</v>
      </c>
      <c r="Z125" s="45"/>
      <c r="AA125" s="57"/>
    </row>
    <row r="126">
      <c r="A126" s="81" t="s">
        <v>1930</v>
      </c>
      <c r="B126" s="41" t="s">
        <v>2477</v>
      </c>
      <c r="C126" s="46">
        <v>6616.46</v>
      </c>
      <c r="D126" s="47" t="str">
        <f>HYPERLINK("https://osu.ppy.sh/u/580925","BluOxy")</f>
        <v>BluOxy</v>
      </c>
      <c r="E126" s="61" t="s">
        <v>2478</v>
      </c>
      <c r="F126" s="63">
        <v>2500.0</v>
      </c>
      <c r="G126" s="66" t="s">
        <v>1571</v>
      </c>
      <c r="H126" s="66" t="s">
        <v>67</v>
      </c>
      <c r="I126" s="66" t="s">
        <v>31</v>
      </c>
      <c r="J126" s="70" t="s">
        <v>192</v>
      </c>
      <c r="K126" s="82"/>
      <c r="L126" s="61" t="s">
        <v>1371</v>
      </c>
      <c r="M126" s="75" t="s">
        <v>1009</v>
      </c>
      <c r="N126" s="57"/>
      <c r="O126" s="35" t="s">
        <v>1010</v>
      </c>
      <c r="P126" s="79"/>
      <c r="Q126" s="80"/>
      <c r="R126" s="80"/>
      <c r="S126" s="80"/>
      <c r="T126" s="57"/>
      <c r="U126" s="75" t="s">
        <v>977</v>
      </c>
      <c r="V126" s="75" t="s">
        <v>94</v>
      </c>
      <c r="Z126" s="45">
        <v>42461.0</v>
      </c>
      <c r="AA126" s="57"/>
    </row>
    <row r="127">
      <c r="A127" s="81" t="s">
        <v>443</v>
      </c>
      <c r="B127" s="102" t="s">
        <v>423</v>
      </c>
      <c r="C127" s="103">
        <v>6615.37</v>
      </c>
      <c r="D127" s="104" t="str">
        <f>HYPERLINK("https://osu.ppy.sh/u/6590318","Hotaruduka Yuno")</f>
        <v>Hotaruduka Yuno</v>
      </c>
      <c r="E127" s="35" t="s">
        <v>28</v>
      </c>
      <c r="F127" s="63">
        <v>1000.0</v>
      </c>
      <c r="G127" s="66" t="s">
        <v>29</v>
      </c>
      <c r="H127" s="66" t="s">
        <v>67</v>
      </c>
      <c r="I127" s="66" t="s">
        <v>242</v>
      </c>
      <c r="J127" s="70" t="s">
        <v>32</v>
      </c>
      <c r="K127" s="71">
        <v>1000.0</v>
      </c>
      <c r="L127" s="61" t="s">
        <v>536</v>
      </c>
      <c r="M127" s="35" t="s">
        <v>2479</v>
      </c>
      <c r="N127" s="35" t="s">
        <v>2480</v>
      </c>
      <c r="O127" s="69"/>
      <c r="P127" s="79"/>
      <c r="Q127" s="80"/>
      <c r="R127" s="80"/>
      <c r="S127" s="80"/>
      <c r="T127" s="57"/>
      <c r="U127" s="75" t="s">
        <v>668</v>
      </c>
      <c r="V127" s="75" t="s">
        <v>44</v>
      </c>
      <c r="AA127" s="57"/>
    </row>
    <row r="128">
      <c r="A128" s="81" t="s">
        <v>1936</v>
      </c>
      <c r="B128" s="41" t="s">
        <v>2481</v>
      </c>
      <c r="C128" s="46">
        <v>6615.35</v>
      </c>
      <c r="D128" s="47" t="str">
        <f>HYPERLINK("https://osu.ppy.sh/u/2617985","Valiente")</f>
        <v>Valiente</v>
      </c>
      <c r="E128" s="52" t="s">
        <v>28</v>
      </c>
      <c r="F128" s="36" t="s">
        <v>77</v>
      </c>
      <c r="G128" s="37" t="s">
        <v>29</v>
      </c>
      <c r="H128" s="37" t="s">
        <v>67</v>
      </c>
      <c r="I128" s="37" t="s">
        <v>98</v>
      </c>
      <c r="J128" s="38" t="s">
        <v>32</v>
      </c>
      <c r="K128" s="39" t="s">
        <v>33</v>
      </c>
      <c r="L128" s="40" t="s">
        <v>257</v>
      </c>
      <c r="M128" s="40" t="s">
        <v>185</v>
      </c>
      <c r="N128" s="40" t="s">
        <v>2482</v>
      </c>
      <c r="O128" s="40" t="s">
        <v>141</v>
      </c>
      <c r="P128" s="42" t="s">
        <v>187</v>
      </c>
      <c r="Q128" s="43" t="s">
        <v>39</v>
      </c>
      <c r="R128" s="43" t="s">
        <v>72</v>
      </c>
      <c r="S128" s="43" t="s">
        <v>41</v>
      </c>
      <c r="T128" s="40" t="s">
        <v>42</v>
      </c>
      <c r="U128" s="40" t="s">
        <v>674</v>
      </c>
      <c r="V128" s="40" t="s">
        <v>74</v>
      </c>
      <c r="Z128" s="45">
        <v>43709.0</v>
      </c>
    </row>
    <row r="129">
      <c r="A129" s="81" t="s">
        <v>1938</v>
      </c>
      <c r="B129" s="1" t="s">
        <v>2483</v>
      </c>
      <c r="C129" s="33">
        <v>6612.83</v>
      </c>
      <c r="D129" s="34" t="str">
        <f>HYPERLINK("https://osu.ppy.sh/u/758181","Iris")</f>
        <v>Iris</v>
      </c>
      <c r="E129" s="40" t="s">
        <v>28</v>
      </c>
      <c r="F129" s="100"/>
      <c r="G129" s="128"/>
      <c r="H129" s="128"/>
      <c r="I129" s="101"/>
      <c r="J129" s="129"/>
      <c r="K129" s="82"/>
      <c r="L129" s="57"/>
      <c r="M129" s="69"/>
      <c r="N129" s="57"/>
      <c r="O129" s="57"/>
      <c r="P129" s="79"/>
      <c r="Q129" s="80"/>
      <c r="R129" s="80"/>
      <c r="S129" s="80"/>
      <c r="T129" s="57"/>
      <c r="U129" s="57"/>
      <c r="V129" s="57"/>
      <c r="AA129" s="57"/>
    </row>
    <row r="130">
      <c r="A130" s="81" t="s">
        <v>1942</v>
      </c>
      <c r="B130" s="1" t="s">
        <v>2484</v>
      </c>
      <c r="C130" s="33">
        <v>6607.64</v>
      </c>
      <c r="D130" s="34" t="str">
        <f>HYPERLINK("https://osu.ppy.sh/u/2782093","VanillaSandvich")</f>
        <v>VanillaSandvich</v>
      </c>
      <c r="E130" s="52" t="s">
        <v>28</v>
      </c>
      <c r="F130" s="36">
        <v>1000.0</v>
      </c>
      <c r="G130" s="37" t="s">
        <v>29</v>
      </c>
      <c r="H130" s="37" t="s">
        <v>1547</v>
      </c>
      <c r="I130" s="37" t="s">
        <v>98</v>
      </c>
      <c r="J130" s="38" t="s">
        <v>32</v>
      </c>
      <c r="K130" s="82"/>
      <c r="L130" s="40" t="s">
        <v>312</v>
      </c>
      <c r="M130" s="40" t="s">
        <v>2485</v>
      </c>
      <c r="N130" s="40" t="s">
        <v>174</v>
      </c>
      <c r="O130" s="69"/>
      <c r="P130" s="42">
        <v>108.0</v>
      </c>
      <c r="Q130" s="43">
        <v>97.0</v>
      </c>
      <c r="R130" s="43">
        <v>57.0</v>
      </c>
      <c r="S130" s="43">
        <v>37.0</v>
      </c>
      <c r="T130" s="69"/>
      <c r="U130" s="40" t="s">
        <v>2486</v>
      </c>
      <c r="V130" s="40" t="s">
        <v>63</v>
      </c>
      <c r="AA130" s="57"/>
    </row>
    <row r="131">
      <c r="A131" s="81" t="s">
        <v>1944</v>
      </c>
      <c r="B131" s="1" t="s">
        <v>2487</v>
      </c>
      <c r="C131" s="33">
        <v>6606.68</v>
      </c>
      <c r="D131" s="34" t="str">
        <f>HYPERLINK("https://osu.ppy.sh/u/4325822","Kuon")</f>
        <v>Kuon</v>
      </c>
      <c r="E131" s="35" t="s">
        <v>372</v>
      </c>
      <c r="F131" s="63">
        <v>960.0</v>
      </c>
      <c r="G131" s="66" t="s">
        <v>29</v>
      </c>
      <c r="H131" s="66" t="s">
        <v>67</v>
      </c>
      <c r="I131" s="66" t="s">
        <v>31</v>
      </c>
      <c r="J131" s="70" t="s">
        <v>32</v>
      </c>
      <c r="K131" s="71">
        <v>1000.0</v>
      </c>
      <c r="L131" s="61" t="s">
        <v>129</v>
      </c>
      <c r="M131" s="35" t="s">
        <v>199</v>
      </c>
      <c r="N131" s="35" t="s">
        <v>295</v>
      </c>
      <c r="O131" s="35" t="s">
        <v>391</v>
      </c>
      <c r="P131" s="72">
        <v>103.0</v>
      </c>
      <c r="Q131" s="73">
        <v>136.0</v>
      </c>
      <c r="R131" s="73">
        <v>72.0</v>
      </c>
      <c r="S131" s="73">
        <v>41.0</v>
      </c>
      <c r="T131" s="61" t="s">
        <v>42</v>
      </c>
      <c r="U131" s="35" t="s">
        <v>389</v>
      </c>
      <c r="V131" s="35" t="s">
        <v>63</v>
      </c>
      <c r="AA131" s="57"/>
    </row>
    <row r="132">
      <c r="A132" s="81" t="s">
        <v>1948</v>
      </c>
      <c r="B132" s="1" t="s">
        <v>2488</v>
      </c>
      <c r="C132" s="33">
        <v>6593.92</v>
      </c>
      <c r="D132" s="34" t="str">
        <f>HYPERLINK("https://osu.ppy.sh/u/3073332","HK_BLAU")</f>
        <v>HK_BLAU</v>
      </c>
      <c r="E132" s="61" t="s">
        <v>28</v>
      </c>
      <c r="F132" s="100"/>
      <c r="G132" s="101"/>
      <c r="H132" s="101"/>
      <c r="I132" s="101"/>
      <c r="J132" s="49"/>
      <c r="K132" s="82"/>
      <c r="L132" s="69"/>
      <c r="M132" s="69"/>
      <c r="N132" s="69"/>
      <c r="O132" s="69"/>
      <c r="P132" s="79"/>
      <c r="Q132" s="80"/>
      <c r="R132" s="80"/>
      <c r="S132" s="80"/>
      <c r="T132" s="57"/>
      <c r="AA132" s="57"/>
    </row>
    <row r="133">
      <c r="A133" s="81" t="s">
        <v>449</v>
      </c>
      <c r="B133" s="41" t="s">
        <v>2489</v>
      </c>
      <c r="C133" s="46">
        <v>6593.81</v>
      </c>
      <c r="D133" s="62" t="str">
        <f>HYPERLINK("https://osu.ppy.sh/u/2799888","[Yuki]iona-san")</f>
        <v>[Yuki]iona-san</v>
      </c>
      <c r="E133" s="61" t="s">
        <v>28</v>
      </c>
      <c r="F133" s="100"/>
      <c r="G133" s="101"/>
      <c r="H133" s="101"/>
      <c r="I133" s="101"/>
      <c r="J133" s="49"/>
      <c r="K133" s="82"/>
      <c r="L133" s="69"/>
      <c r="M133" s="57"/>
      <c r="N133" s="57"/>
      <c r="O133" s="69"/>
      <c r="P133" s="79"/>
      <c r="Q133" s="80"/>
      <c r="R133" s="80"/>
      <c r="S133" s="80"/>
      <c r="T133" s="57"/>
      <c r="U133" s="57"/>
      <c r="V133" s="57"/>
    </row>
    <row r="134">
      <c r="A134" s="81" t="s">
        <v>453</v>
      </c>
      <c r="B134" s="1" t="s">
        <v>2490</v>
      </c>
      <c r="C134" s="33">
        <v>6577.71</v>
      </c>
      <c r="D134" s="34" t="str">
        <f>HYPERLINK("https://osu.ppy.sh/u/9505673","crissof")</f>
        <v>crissof</v>
      </c>
      <c r="E134" s="55" t="s">
        <v>28</v>
      </c>
      <c r="F134" s="58" t="s">
        <v>105</v>
      </c>
      <c r="G134" s="48" t="s">
        <v>29</v>
      </c>
      <c r="H134" s="48" t="s">
        <v>578</v>
      </c>
      <c r="I134" s="48" t="s">
        <v>31</v>
      </c>
      <c r="J134" s="59" t="s">
        <v>32</v>
      </c>
      <c r="K134" s="74" t="s">
        <v>33</v>
      </c>
      <c r="L134" s="55" t="s">
        <v>417</v>
      </c>
      <c r="M134" s="1" t="s">
        <v>130</v>
      </c>
      <c r="N134" s="1" t="s">
        <v>2491</v>
      </c>
      <c r="O134" s="1" t="s">
        <v>70</v>
      </c>
      <c r="P134" s="72" t="s">
        <v>132</v>
      </c>
      <c r="Q134" s="73">
        <v>124.0</v>
      </c>
      <c r="R134" s="73">
        <v>68.0</v>
      </c>
      <c r="S134" s="73">
        <v>43.0</v>
      </c>
      <c r="T134" s="61" t="s">
        <v>42</v>
      </c>
      <c r="U134" s="55" t="s">
        <v>747</v>
      </c>
      <c r="V134" s="1" t="s">
        <v>74</v>
      </c>
      <c r="Z134" s="45">
        <v>43617.0</v>
      </c>
    </row>
    <row r="135">
      <c r="A135" s="81" t="s">
        <v>1954</v>
      </c>
      <c r="B135" s="1" t="s">
        <v>2492</v>
      </c>
      <c r="C135" s="33">
        <v>6574.69</v>
      </c>
      <c r="D135" s="34" t="str">
        <f>HYPERLINK("https://osu.ppy.sh/u/6664363","HanSo")</f>
        <v>HanSo</v>
      </c>
      <c r="E135" s="41" t="s">
        <v>28</v>
      </c>
      <c r="G135" s="53"/>
      <c r="I135" s="53"/>
      <c r="J135" s="54"/>
      <c r="AA135" s="57"/>
    </row>
    <row r="136">
      <c r="A136" s="81" t="s">
        <v>1956</v>
      </c>
      <c r="B136" s="1" t="s">
        <v>2493</v>
      </c>
      <c r="C136" s="33">
        <v>6566.92</v>
      </c>
      <c r="D136" s="34" t="str">
        <f>HYPERLINK("https://osu.ppy.sh/u/8722791","schoolboy")</f>
        <v>schoolboy</v>
      </c>
      <c r="E136" s="41" t="s">
        <v>28</v>
      </c>
      <c r="F136" s="109"/>
      <c r="G136" s="53"/>
      <c r="H136" s="53"/>
      <c r="I136" s="53"/>
      <c r="J136" s="54"/>
      <c r="K136" s="60"/>
      <c r="P136" s="91"/>
      <c r="Q136" s="92"/>
      <c r="R136" s="92"/>
      <c r="S136" s="92"/>
      <c r="Z136" s="45"/>
      <c r="AA136" s="57"/>
    </row>
    <row r="137">
      <c r="A137" s="81" t="s">
        <v>1959</v>
      </c>
      <c r="B137" s="41" t="s">
        <v>2494</v>
      </c>
      <c r="C137" s="46">
        <v>6563.6</v>
      </c>
      <c r="D137" s="47" t="str">
        <f>HYPERLINK("https://osu.ppy.sh/u/8111425","PEG")</f>
        <v>PEG</v>
      </c>
      <c r="E137" s="61" t="s">
        <v>28</v>
      </c>
      <c r="G137" s="53"/>
      <c r="I137" s="53"/>
      <c r="J137" s="54"/>
      <c r="AA137" s="57"/>
    </row>
    <row r="138">
      <c r="A138" s="81" t="s">
        <v>1962</v>
      </c>
      <c r="B138" s="41" t="s">
        <v>2495</v>
      </c>
      <c r="C138" s="46">
        <v>6558.95</v>
      </c>
      <c r="D138" s="47" t="str">
        <f>HYPERLINK("https://osu.ppy.sh/u/2044501","DarK-AnGeL")</f>
        <v>DarK-AnGeL</v>
      </c>
      <c r="E138" s="61" t="s">
        <v>28</v>
      </c>
      <c r="F138" s="100"/>
      <c r="G138" s="128"/>
      <c r="H138" s="128"/>
      <c r="I138" s="128"/>
      <c r="J138" s="129"/>
      <c r="K138" s="82"/>
      <c r="L138" s="57"/>
      <c r="M138" s="57"/>
      <c r="N138" s="57"/>
      <c r="O138" s="57"/>
      <c r="P138" s="79"/>
      <c r="Q138" s="80"/>
      <c r="R138" s="80"/>
      <c r="S138" s="80"/>
      <c r="T138" s="57"/>
      <c r="U138" s="57"/>
      <c r="V138" s="57"/>
    </row>
    <row r="139">
      <c r="A139" s="81" t="s">
        <v>1965</v>
      </c>
      <c r="B139" s="41" t="s">
        <v>2496</v>
      </c>
      <c r="C139" s="46">
        <v>6554.78</v>
      </c>
      <c r="D139" s="47" t="str">
        <f>HYPERLINK("https://osu.ppy.sh/u/9702728","clorox_1g")</f>
        <v>clorox_1g</v>
      </c>
      <c r="E139" s="35" t="s">
        <v>372</v>
      </c>
      <c r="F139" s="58" t="s">
        <v>105</v>
      </c>
      <c r="G139" s="48" t="s">
        <v>29</v>
      </c>
      <c r="H139" s="48" t="s">
        <v>79</v>
      </c>
      <c r="I139" s="48" t="s">
        <v>31</v>
      </c>
      <c r="J139" s="59" t="s">
        <v>32</v>
      </c>
      <c r="K139" s="74" t="s">
        <v>33</v>
      </c>
      <c r="L139" s="55" t="s">
        <v>837</v>
      </c>
      <c r="M139" s="1" t="s">
        <v>2497</v>
      </c>
      <c r="N139" s="1" t="s">
        <v>718</v>
      </c>
      <c r="O139" s="40" t="s">
        <v>2498</v>
      </c>
      <c r="P139" s="85" t="s">
        <v>2499</v>
      </c>
      <c r="Q139" s="86" t="s">
        <v>2500</v>
      </c>
      <c r="R139" s="87" t="s">
        <v>2501</v>
      </c>
      <c r="S139" s="87" t="s">
        <v>323</v>
      </c>
      <c r="T139" s="35" t="s">
        <v>42</v>
      </c>
      <c r="U139" s="55" t="s">
        <v>1342</v>
      </c>
      <c r="V139" s="1" t="s">
        <v>94</v>
      </c>
      <c r="Z139" s="45">
        <v>43617.0</v>
      </c>
    </row>
    <row r="140">
      <c r="A140" s="81" t="s">
        <v>1967</v>
      </c>
      <c r="B140" s="41" t="s">
        <v>2502</v>
      </c>
      <c r="C140" s="46">
        <v>6553.72</v>
      </c>
      <c r="D140" s="62" t="str">
        <f>HYPERLINK("https://osu.ppy.sh/u/4886541","B1oody")</f>
        <v>B1oody</v>
      </c>
      <c r="E140" s="52" t="s">
        <v>372</v>
      </c>
      <c r="F140" s="58" t="s">
        <v>1988</v>
      </c>
      <c r="G140" s="48" t="s">
        <v>29</v>
      </c>
      <c r="H140" s="48" t="s">
        <v>67</v>
      </c>
      <c r="I140" s="48" t="s">
        <v>754</v>
      </c>
      <c r="J140" s="59" t="s">
        <v>32</v>
      </c>
      <c r="K140" s="74" t="s">
        <v>33</v>
      </c>
      <c r="L140" s="1" t="s">
        <v>193</v>
      </c>
      <c r="M140" s="1" t="s">
        <v>2503</v>
      </c>
      <c r="N140" s="1" t="s">
        <v>92</v>
      </c>
      <c r="O140" s="41"/>
      <c r="P140" s="85"/>
      <c r="Q140" s="87"/>
      <c r="R140" s="87"/>
      <c r="S140" s="87"/>
      <c r="T140" s="61"/>
      <c r="U140" s="1" t="s">
        <v>2504</v>
      </c>
      <c r="V140" s="1" t="s">
        <v>94</v>
      </c>
      <c r="Z140" s="45">
        <v>43405.0</v>
      </c>
    </row>
    <row r="141">
      <c r="A141" s="81" t="s">
        <v>1969</v>
      </c>
      <c r="B141" s="41" t="s">
        <v>2505</v>
      </c>
      <c r="C141" s="46">
        <v>6547.59</v>
      </c>
      <c r="D141" s="47" t="str">
        <f>HYPERLINK("https://osu.ppy.sh/u/2189591","ExCellRaD")</f>
        <v>ExCellRaD</v>
      </c>
      <c r="E141" s="41" t="s">
        <v>28</v>
      </c>
      <c r="G141" s="53"/>
      <c r="I141" s="53"/>
      <c r="J141" s="54"/>
      <c r="AA141" s="57"/>
    </row>
    <row r="142">
      <c r="A142" s="81" t="s">
        <v>1972</v>
      </c>
      <c r="B142" s="41" t="s">
        <v>2506</v>
      </c>
      <c r="C142" s="46">
        <v>6545.65</v>
      </c>
      <c r="D142" s="47" t="str">
        <f>HYPERLINK("https://osu.ppy.sh/u/1465122","oji")</f>
        <v>oji</v>
      </c>
      <c r="E142" s="52"/>
      <c r="F142" s="100"/>
      <c r="G142" s="101"/>
      <c r="H142" s="101"/>
      <c r="I142" s="101"/>
      <c r="J142" s="49"/>
      <c r="K142" s="82"/>
      <c r="L142" s="69"/>
      <c r="M142" s="69"/>
      <c r="N142" s="69"/>
      <c r="O142" s="69"/>
      <c r="P142" s="79"/>
      <c r="Q142" s="80"/>
      <c r="R142" s="80"/>
      <c r="S142" s="80"/>
      <c r="T142" s="69"/>
      <c r="U142" s="69"/>
      <c r="V142" s="69"/>
      <c r="AA142" s="57"/>
    </row>
    <row r="143">
      <c r="A143" s="81" t="s">
        <v>1974</v>
      </c>
      <c r="B143" s="1" t="s">
        <v>2507</v>
      </c>
      <c r="C143" s="33">
        <v>6539.41</v>
      </c>
      <c r="D143" s="34" t="str">
        <f>HYPERLINK("https://osu.ppy.sh/u/4386188","NoiiZeDesignS")</f>
        <v>NoiiZeDesignS</v>
      </c>
      <c r="E143" s="41" t="s">
        <v>28</v>
      </c>
      <c r="F143" s="109"/>
      <c r="G143" s="53"/>
      <c r="H143" s="53"/>
      <c r="I143" s="53"/>
      <c r="J143" s="54"/>
      <c r="K143" s="60"/>
      <c r="P143" s="91"/>
      <c r="Q143" s="92"/>
      <c r="R143" s="92"/>
      <c r="S143" s="92"/>
      <c r="Z143" s="45"/>
    </row>
    <row r="144">
      <c r="A144" s="81" t="s">
        <v>1980</v>
      </c>
      <c r="B144" s="1" t="s">
        <v>2508</v>
      </c>
      <c r="C144" s="33">
        <v>6538.73</v>
      </c>
      <c r="D144" s="34" t="str">
        <f>HYPERLINK("https://osu.ppy.sh/u/3545789","Naked Chef")</f>
        <v>Naked Chef</v>
      </c>
      <c r="E144" s="52" t="s">
        <v>28</v>
      </c>
      <c r="F144" s="100"/>
      <c r="G144" s="101"/>
      <c r="H144" s="101"/>
      <c r="I144" s="101"/>
      <c r="J144" s="49"/>
      <c r="K144" s="82"/>
      <c r="L144" s="69"/>
      <c r="M144" s="69"/>
      <c r="N144" s="69"/>
      <c r="O144" s="69"/>
      <c r="P144" s="79"/>
      <c r="Q144" s="80"/>
      <c r="R144" s="80"/>
      <c r="S144" s="80"/>
      <c r="T144" s="69"/>
      <c r="U144" s="69"/>
      <c r="V144" s="69"/>
    </row>
    <row r="145">
      <c r="A145" s="81" t="s">
        <v>1983</v>
      </c>
      <c r="B145" s="41" t="s">
        <v>1950</v>
      </c>
      <c r="C145" s="46">
        <v>6534.71</v>
      </c>
      <c r="D145" s="47" t="str">
        <f>HYPERLINK("https://osu.ppy.sh/u/9079936","skytuna")</f>
        <v>skytuna</v>
      </c>
      <c r="E145" s="52" t="s">
        <v>28</v>
      </c>
      <c r="G145" s="53"/>
      <c r="I145" s="53"/>
      <c r="J145" s="54"/>
      <c r="AA145" s="57"/>
    </row>
    <row r="146">
      <c r="A146" s="81" t="s">
        <v>1986</v>
      </c>
      <c r="B146" s="102" t="s">
        <v>423</v>
      </c>
      <c r="C146" s="257">
        <v>6522.0</v>
      </c>
      <c r="D146" s="104" t="str">
        <f>HYPERLINK("https://osu.ppy.sh/u/1241865","sawagani")</f>
        <v>sawagani</v>
      </c>
      <c r="E146" s="35" t="s">
        <v>571</v>
      </c>
      <c r="F146" s="63">
        <v>800.0</v>
      </c>
      <c r="G146" s="66" t="s">
        <v>29</v>
      </c>
      <c r="H146" s="66" t="s">
        <v>67</v>
      </c>
      <c r="I146" s="66" t="s">
        <v>31</v>
      </c>
      <c r="J146" s="70" t="s">
        <v>192</v>
      </c>
      <c r="K146" s="82"/>
      <c r="L146" s="61" t="s">
        <v>222</v>
      </c>
      <c r="M146" s="35" t="s">
        <v>658</v>
      </c>
      <c r="N146" s="35" t="s">
        <v>696</v>
      </c>
      <c r="O146" s="35" t="s">
        <v>52</v>
      </c>
      <c r="P146" s="72">
        <v>102.0</v>
      </c>
      <c r="Q146" s="73">
        <v>131.0</v>
      </c>
      <c r="R146" s="73">
        <v>72.0</v>
      </c>
      <c r="S146" s="73">
        <v>42.0</v>
      </c>
      <c r="T146" s="44" t="s">
        <v>218</v>
      </c>
      <c r="U146" s="57"/>
      <c r="V146" s="57"/>
      <c r="AA146" s="57"/>
    </row>
    <row r="147">
      <c r="A147" s="81" t="s">
        <v>1996</v>
      </c>
      <c r="B147" s="1" t="s">
        <v>2345</v>
      </c>
      <c r="C147" s="33">
        <v>6521.56</v>
      </c>
      <c r="D147" s="34" t="str">
        <f>HYPERLINK("https://osu.ppy.sh/u/74937","kiddly")</f>
        <v>kiddly</v>
      </c>
      <c r="E147" s="35" t="s">
        <v>28</v>
      </c>
      <c r="F147" s="63">
        <v>1380.0</v>
      </c>
      <c r="G147" s="66" t="s">
        <v>1571</v>
      </c>
      <c r="H147" s="66" t="s">
        <v>2509</v>
      </c>
      <c r="I147" s="66" t="s">
        <v>267</v>
      </c>
      <c r="J147" s="70" t="s">
        <v>32</v>
      </c>
      <c r="K147" s="82"/>
      <c r="L147" s="61" t="s">
        <v>1924</v>
      </c>
      <c r="M147" s="35" t="s">
        <v>2437</v>
      </c>
      <c r="N147" s="35" t="s">
        <v>357</v>
      </c>
      <c r="O147" s="69"/>
      <c r="P147" s="79"/>
      <c r="Q147" s="80"/>
      <c r="R147" s="80"/>
      <c r="S147" s="80"/>
      <c r="T147" s="69"/>
      <c r="U147" s="35" t="s">
        <v>2510</v>
      </c>
      <c r="V147" s="35" t="s">
        <v>74</v>
      </c>
    </row>
    <row r="148">
      <c r="A148" s="81" t="s">
        <v>1999</v>
      </c>
      <c r="B148" s="41" t="s">
        <v>2511</v>
      </c>
      <c r="C148" s="46">
        <v>6520.66</v>
      </c>
      <c r="D148" s="83" t="str">
        <f>HYPERLINK("https://osu.ppy.sh/u/3215487","MeanYellow")</f>
        <v>MeanYellow</v>
      </c>
      <c r="E148" s="52" t="s">
        <v>28</v>
      </c>
      <c r="F148" s="100"/>
      <c r="G148" s="101"/>
      <c r="H148" s="101"/>
      <c r="I148" s="101"/>
      <c r="J148" s="49"/>
      <c r="K148" s="82"/>
      <c r="L148" s="69"/>
      <c r="M148" s="69"/>
      <c r="N148" s="69"/>
      <c r="O148" s="69"/>
      <c r="P148" s="79"/>
      <c r="Q148" s="80"/>
      <c r="R148" s="80"/>
      <c r="S148" s="80"/>
      <c r="T148" s="69"/>
      <c r="U148" s="69"/>
      <c r="V148" s="69"/>
    </row>
    <row r="149">
      <c r="A149" s="81" t="s">
        <v>460</v>
      </c>
      <c r="B149" s="40" t="s">
        <v>2512</v>
      </c>
      <c r="C149" s="76">
        <v>6515.95</v>
      </c>
      <c r="D149" s="77" t="str">
        <f>HYPERLINK("https://osu.ppy.sh/u/4464493","Paneiru")</f>
        <v>Paneiru</v>
      </c>
      <c r="E149" s="52" t="s">
        <v>28</v>
      </c>
      <c r="F149" s="58" t="s">
        <v>105</v>
      </c>
      <c r="G149" s="48" t="s">
        <v>29</v>
      </c>
      <c r="H149" s="48" t="s">
        <v>67</v>
      </c>
      <c r="I149" s="48" t="s">
        <v>31</v>
      </c>
      <c r="J149" s="59" t="s">
        <v>32</v>
      </c>
      <c r="K149" s="74" t="s">
        <v>33</v>
      </c>
      <c r="L149" s="1" t="s">
        <v>222</v>
      </c>
      <c r="M149" s="1" t="s">
        <v>2513</v>
      </c>
      <c r="N149" s="1" t="s">
        <v>92</v>
      </c>
      <c r="O149" s="1" t="s">
        <v>121</v>
      </c>
      <c r="P149" s="85" t="s">
        <v>110</v>
      </c>
      <c r="Q149" s="86" t="s">
        <v>123</v>
      </c>
      <c r="R149" s="86" t="s">
        <v>458</v>
      </c>
      <c r="S149" s="86" t="s">
        <v>329</v>
      </c>
      <c r="T149" s="61" t="s">
        <v>42</v>
      </c>
      <c r="U149" s="1" t="s">
        <v>117</v>
      </c>
      <c r="V149" s="1" t="s">
        <v>74</v>
      </c>
      <c r="Z149" s="45">
        <v>43070.0</v>
      </c>
    </row>
    <row r="150">
      <c r="A150" s="81" t="s">
        <v>2002</v>
      </c>
      <c r="B150" s="41" t="s">
        <v>2514</v>
      </c>
      <c r="C150" s="46">
        <v>6506.87</v>
      </c>
      <c r="D150" s="47" t="str">
        <f>HYPERLINK("https://osu.ppy.sh/u/8010570","Impusu")</f>
        <v>Impusu</v>
      </c>
      <c r="E150" s="55" t="s">
        <v>28</v>
      </c>
      <c r="F150" s="48" t="s">
        <v>2515</v>
      </c>
      <c r="G150" s="48" t="s">
        <v>29</v>
      </c>
      <c r="H150" s="48" t="s">
        <v>67</v>
      </c>
      <c r="I150" s="48" t="s">
        <v>31</v>
      </c>
      <c r="J150" s="59" t="s">
        <v>32</v>
      </c>
      <c r="K150" s="48" t="s">
        <v>33</v>
      </c>
      <c r="L150" s="55" t="s">
        <v>2264</v>
      </c>
      <c r="M150" s="1" t="s">
        <v>494</v>
      </c>
      <c r="N150" s="1" t="s">
        <v>2516</v>
      </c>
      <c r="O150" s="1" t="s">
        <v>496</v>
      </c>
      <c r="P150" s="48" t="s">
        <v>497</v>
      </c>
      <c r="Q150" s="48" t="s">
        <v>457</v>
      </c>
      <c r="R150" s="48" t="s">
        <v>498</v>
      </c>
      <c r="S150" s="48" t="s">
        <v>41</v>
      </c>
      <c r="T150" s="61" t="s">
        <v>42</v>
      </c>
      <c r="U150" s="1" t="s">
        <v>1352</v>
      </c>
      <c r="V150" s="1" t="s">
        <v>74</v>
      </c>
      <c r="Z150" s="45">
        <v>43770.0</v>
      </c>
    </row>
    <row r="151">
      <c r="A151" s="81" t="s">
        <v>465</v>
      </c>
      <c r="B151" s="41" t="s">
        <v>2517</v>
      </c>
      <c r="C151" s="46">
        <v>6505.57</v>
      </c>
      <c r="D151" s="47" t="str">
        <f>HYPERLINK("https://osu.ppy.sh/u/640011","Takei Hisa")</f>
        <v>Takei Hisa</v>
      </c>
      <c r="E151" s="61" t="s">
        <v>28</v>
      </c>
      <c r="F151" s="100"/>
      <c r="G151" s="128"/>
      <c r="H151" s="128"/>
      <c r="I151" s="128"/>
      <c r="J151" s="129"/>
      <c r="K151" s="82"/>
      <c r="L151" s="57"/>
      <c r="M151" s="57"/>
      <c r="N151" s="57"/>
      <c r="O151" s="57"/>
      <c r="P151" s="79"/>
      <c r="Q151" s="80"/>
      <c r="R151" s="80"/>
      <c r="S151" s="80"/>
      <c r="T151" s="57"/>
      <c r="U151" s="57"/>
      <c r="V151" s="57"/>
      <c r="AA151" s="57"/>
    </row>
    <row r="152">
      <c r="A152" s="81" t="s">
        <v>2003</v>
      </c>
      <c r="B152" s="41" t="s">
        <v>2518</v>
      </c>
      <c r="C152" s="46">
        <v>6503.2</v>
      </c>
      <c r="D152" s="47" t="str">
        <f>HYPERLINK("https://osu.ppy.sh/u/7370368","Amlaith")</f>
        <v>Amlaith</v>
      </c>
      <c r="E152" s="41" t="s">
        <v>28</v>
      </c>
      <c r="F152" s="109"/>
      <c r="G152" s="53"/>
      <c r="H152" s="53"/>
      <c r="I152" s="53"/>
      <c r="J152" s="54"/>
      <c r="K152" s="60"/>
      <c r="P152" s="91"/>
      <c r="Q152" s="92"/>
      <c r="R152" s="92"/>
      <c r="S152" s="92"/>
      <c r="Z152" s="45"/>
      <c r="AA152" s="57"/>
    </row>
    <row r="153">
      <c r="A153" s="81" t="s">
        <v>2004</v>
      </c>
      <c r="B153" s="41" t="s">
        <v>2519</v>
      </c>
      <c r="C153" s="46">
        <v>6502.48</v>
      </c>
      <c r="D153" s="47" t="str">
        <f>HYPERLINK("https://osu.ppy.sh/u/2571971","caKuma")</f>
        <v>caKuma</v>
      </c>
      <c r="E153" s="35" t="s">
        <v>28</v>
      </c>
      <c r="F153" s="63">
        <v>800.0</v>
      </c>
      <c r="G153" s="64" t="s">
        <v>29</v>
      </c>
      <c r="H153" s="64" t="s">
        <v>67</v>
      </c>
      <c r="I153" s="64" t="s">
        <v>31</v>
      </c>
      <c r="J153" s="67" t="s">
        <v>32</v>
      </c>
      <c r="K153" s="71">
        <v>1000.0</v>
      </c>
      <c r="L153" s="44" t="s">
        <v>222</v>
      </c>
      <c r="M153" s="41" t="s">
        <v>69</v>
      </c>
      <c r="N153" s="41" t="s">
        <v>2032</v>
      </c>
      <c r="O153" s="40" t="s">
        <v>70</v>
      </c>
      <c r="P153" s="42" t="s">
        <v>71</v>
      </c>
      <c r="Q153" s="43" t="s">
        <v>39</v>
      </c>
      <c r="R153" s="43" t="s">
        <v>72</v>
      </c>
      <c r="S153" s="43" t="s">
        <v>41</v>
      </c>
      <c r="T153" s="61" t="s">
        <v>42</v>
      </c>
      <c r="U153" s="41" t="s">
        <v>2520</v>
      </c>
      <c r="V153" s="75" t="s">
        <v>491</v>
      </c>
      <c r="Z153" s="45">
        <v>42948.0</v>
      </c>
      <c r="AA153" s="57"/>
    </row>
    <row r="154">
      <c r="A154" s="81" t="s">
        <v>2006</v>
      </c>
      <c r="B154" s="102" t="s">
        <v>423</v>
      </c>
      <c r="C154" s="103">
        <v>6498.07</v>
      </c>
      <c r="D154" s="104" t="str">
        <f>HYPERLINK("https://osu.ppy.sh/u/5690455","GGdub")</f>
        <v>GGdub</v>
      </c>
      <c r="E154" s="61" t="s">
        <v>28</v>
      </c>
      <c r="F154" s="63">
        <v>900.0</v>
      </c>
      <c r="G154" s="64" t="s">
        <v>29</v>
      </c>
      <c r="H154" s="66" t="s">
        <v>67</v>
      </c>
      <c r="I154" s="66" t="s">
        <v>31</v>
      </c>
      <c r="J154" s="67" t="s">
        <v>32</v>
      </c>
      <c r="K154" s="71">
        <v>1000.0</v>
      </c>
      <c r="L154" s="61" t="s">
        <v>848</v>
      </c>
      <c r="M154" s="35" t="s">
        <v>238</v>
      </c>
      <c r="N154" s="41" t="s">
        <v>1723</v>
      </c>
      <c r="O154" s="35" t="s">
        <v>70</v>
      </c>
      <c r="P154" s="72">
        <v>126.0</v>
      </c>
      <c r="Q154" s="73">
        <v>128.0</v>
      </c>
      <c r="R154" s="73">
        <v>76.0</v>
      </c>
      <c r="S154" s="73">
        <v>42.0</v>
      </c>
      <c r="T154" s="52" t="s">
        <v>42</v>
      </c>
      <c r="U154" s="35" t="s">
        <v>240</v>
      </c>
      <c r="V154" s="35" t="s">
        <v>74</v>
      </c>
      <c r="AA154" s="57"/>
    </row>
    <row r="155">
      <c r="A155" s="81" t="s">
        <v>2009</v>
      </c>
      <c r="B155" s="102" t="s">
        <v>423</v>
      </c>
      <c r="C155" s="103">
        <v>6491.22</v>
      </c>
      <c r="D155" s="138" t="str">
        <f>HYPERLINK("https://osu.ppy.sh/u/1150349","goma")</f>
        <v>goma</v>
      </c>
      <c r="E155" s="35" t="s">
        <v>571</v>
      </c>
      <c r="F155" s="63">
        <v>400.0</v>
      </c>
      <c r="G155" s="66" t="s">
        <v>29</v>
      </c>
      <c r="H155" s="66" t="s">
        <v>2428</v>
      </c>
      <c r="I155" s="66" t="s">
        <v>31</v>
      </c>
      <c r="J155" s="70" t="s">
        <v>192</v>
      </c>
      <c r="K155" s="71">
        <v>500.0</v>
      </c>
      <c r="L155" s="61" t="s">
        <v>2521</v>
      </c>
      <c r="M155" s="35" t="s">
        <v>658</v>
      </c>
      <c r="N155" s="35" t="s">
        <v>696</v>
      </c>
      <c r="O155" s="35" t="s">
        <v>52</v>
      </c>
      <c r="P155" s="79"/>
      <c r="Q155" s="80"/>
      <c r="R155" s="80"/>
      <c r="S155" s="80"/>
      <c r="T155" s="57"/>
      <c r="U155" s="57"/>
      <c r="V155" s="57"/>
      <c r="AA155" s="57"/>
    </row>
    <row r="156">
      <c r="A156" s="81" t="s">
        <v>2011</v>
      </c>
      <c r="B156" s="41" t="s">
        <v>2522</v>
      </c>
      <c r="C156" s="46">
        <v>6490.87</v>
      </c>
      <c r="D156" s="47" t="str">
        <f>HYPERLINK("https://osu.ppy.sh/u/6775398","ricter")</f>
        <v>ricter</v>
      </c>
      <c r="E156" s="52"/>
      <c r="F156" s="100"/>
      <c r="G156" s="101"/>
      <c r="H156" s="101"/>
      <c r="I156" s="101"/>
      <c r="J156" s="49"/>
      <c r="K156" s="82"/>
      <c r="L156" s="69"/>
      <c r="M156" s="69"/>
      <c r="N156" s="69"/>
      <c r="O156" s="69"/>
      <c r="P156" s="79"/>
      <c r="Q156" s="80"/>
      <c r="R156" s="80"/>
      <c r="S156" s="80"/>
      <c r="T156" s="69"/>
      <c r="U156" s="69"/>
      <c r="V156" s="69"/>
    </row>
    <row r="157">
      <c r="A157" s="81" t="s">
        <v>2014</v>
      </c>
      <c r="B157" s="41" t="s">
        <v>2360</v>
      </c>
      <c r="C157" s="46">
        <v>6488.17</v>
      </c>
      <c r="D157" s="62" t="str">
        <f>HYPERLINK("https://osu.ppy.sh/u/3953470","112servis")</f>
        <v>112servis</v>
      </c>
      <c r="E157" s="52" t="s">
        <v>28</v>
      </c>
      <c r="F157" s="36" t="s">
        <v>58</v>
      </c>
      <c r="G157" s="37" t="s">
        <v>29</v>
      </c>
      <c r="H157" s="37" t="s">
        <v>820</v>
      </c>
      <c r="I157" s="37" t="s">
        <v>31</v>
      </c>
      <c r="J157" s="38" t="s">
        <v>32</v>
      </c>
      <c r="K157" s="39" t="s">
        <v>81</v>
      </c>
      <c r="L157" s="40" t="s">
        <v>1093</v>
      </c>
      <c r="M157" s="40" t="s">
        <v>199</v>
      </c>
      <c r="N157" s="40" t="s">
        <v>780</v>
      </c>
      <c r="O157" s="75" t="s">
        <v>201</v>
      </c>
      <c r="P157" s="72">
        <v>103.0</v>
      </c>
      <c r="Q157" s="73">
        <v>136.0</v>
      </c>
      <c r="R157" s="73">
        <v>72.0</v>
      </c>
      <c r="S157" s="73">
        <v>41.0</v>
      </c>
      <c r="T157" s="44" t="s">
        <v>42</v>
      </c>
      <c r="U157" s="40" t="s">
        <v>281</v>
      </c>
      <c r="V157" s="40" t="s">
        <v>74</v>
      </c>
      <c r="Z157" s="45">
        <v>43282.0</v>
      </c>
    </row>
    <row r="158">
      <c r="A158" s="81" t="s">
        <v>2016</v>
      </c>
      <c r="B158" s="1" t="s">
        <v>2523</v>
      </c>
      <c r="C158" s="33">
        <v>6485.19</v>
      </c>
      <c r="D158" s="34" t="str">
        <f>HYPERLINK("https://osu.ppy.sh/u/49329","rEdo")</f>
        <v>rEdo</v>
      </c>
      <c r="E158" s="61" t="s">
        <v>28</v>
      </c>
      <c r="F158" s="36" t="s">
        <v>47</v>
      </c>
      <c r="G158" s="37" t="s">
        <v>1571</v>
      </c>
      <c r="H158" s="37" t="s">
        <v>67</v>
      </c>
      <c r="I158" s="37" t="s">
        <v>421</v>
      </c>
      <c r="J158" s="38" t="s">
        <v>192</v>
      </c>
      <c r="K158" s="39" t="s">
        <v>81</v>
      </c>
      <c r="L158" s="69"/>
      <c r="M158" s="40" t="s">
        <v>2524</v>
      </c>
      <c r="N158" s="41" t="s">
        <v>2525</v>
      </c>
      <c r="O158" s="69"/>
      <c r="P158" s="79"/>
      <c r="Q158" s="80"/>
      <c r="R158" s="80"/>
      <c r="S158" s="80"/>
      <c r="T158" s="69"/>
      <c r="U158" s="40" t="s">
        <v>1599</v>
      </c>
      <c r="V158" s="40" t="s">
        <v>74</v>
      </c>
      <c r="Z158" s="259">
        <v>43282.0</v>
      </c>
      <c r="AA158" s="57"/>
    </row>
    <row r="159">
      <c r="A159" s="81" t="s">
        <v>2018</v>
      </c>
      <c r="B159" s="1" t="s">
        <v>2526</v>
      </c>
      <c r="C159" s="33">
        <v>6482.01</v>
      </c>
      <c r="D159" s="34" t="str">
        <f>HYPERLINK("https://osu.ppy.sh/u/9703390","Lernaeus")</f>
        <v>Lernaeus</v>
      </c>
      <c r="E159" s="41" t="s">
        <v>28</v>
      </c>
      <c r="F159" s="58" t="s">
        <v>105</v>
      </c>
      <c r="G159" s="48" t="s">
        <v>29</v>
      </c>
      <c r="H159" s="48" t="s">
        <v>137</v>
      </c>
      <c r="I159" s="48" t="s">
        <v>31</v>
      </c>
      <c r="J159" s="54"/>
      <c r="K159" s="74" t="s">
        <v>81</v>
      </c>
      <c r="L159" s="1" t="s">
        <v>138</v>
      </c>
      <c r="M159" s="1" t="s">
        <v>288</v>
      </c>
      <c r="O159" s="41" t="s">
        <v>109</v>
      </c>
      <c r="P159" s="42">
        <v>85.0</v>
      </c>
      <c r="Q159" s="43">
        <v>117.0</v>
      </c>
      <c r="R159" s="43">
        <v>62.0</v>
      </c>
      <c r="S159" s="43">
        <v>38.0</v>
      </c>
      <c r="T159" s="40" t="s">
        <v>42</v>
      </c>
      <c r="U159" s="1" t="s">
        <v>2527</v>
      </c>
      <c r="V159" s="1" t="s">
        <v>447</v>
      </c>
      <c r="Z159" s="45">
        <v>43709.0</v>
      </c>
    </row>
    <row r="160">
      <c r="A160" s="81" t="s">
        <v>2020</v>
      </c>
      <c r="B160" s="41" t="s">
        <v>2528</v>
      </c>
      <c r="C160" s="46">
        <v>6480.57</v>
      </c>
      <c r="D160" s="62" t="str">
        <f>HYPERLINK("https://osu.ppy.sh/u/7458026","wardefender")</f>
        <v>wardefender</v>
      </c>
      <c r="E160" s="1" t="s">
        <v>28</v>
      </c>
      <c r="F160" s="48" t="s">
        <v>58</v>
      </c>
      <c r="G160" s="66" t="s">
        <v>29</v>
      </c>
      <c r="H160" s="48" t="s">
        <v>67</v>
      </c>
      <c r="I160" s="48" t="s">
        <v>31</v>
      </c>
      <c r="J160" s="59" t="s">
        <v>32</v>
      </c>
      <c r="L160" s="1" t="s">
        <v>257</v>
      </c>
      <c r="M160" s="1" t="s">
        <v>2529</v>
      </c>
      <c r="N160" s="1" t="s">
        <v>174</v>
      </c>
      <c r="Q160" s="1" t="s">
        <v>1152</v>
      </c>
      <c r="R160" s="1" t="s">
        <v>250</v>
      </c>
      <c r="S160" s="1" t="s">
        <v>323</v>
      </c>
      <c r="V160" s="1" t="s">
        <v>63</v>
      </c>
      <c r="Z160" s="45">
        <v>43282.0</v>
      </c>
    </row>
    <row r="161">
      <c r="A161" s="81" t="s">
        <v>2024</v>
      </c>
      <c r="B161" s="41" t="s">
        <v>2530</v>
      </c>
      <c r="C161" s="46">
        <v>6479.5</v>
      </c>
      <c r="D161" s="47" t="str">
        <f>HYPERLINK("https://osu.ppy.sh/u/8489157","Kaasper123")</f>
        <v>Kaasper123</v>
      </c>
      <c r="E161" s="52" t="s">
        <v>28</v>
      </c>
      <c r="F161" s="36" t="s">
        <v>206</v>
      </c>
      <c r="G161" s="37" t="s">
        <v>29</v>
      </c>
      <c r="H161" s="37" t="s">
        <v>67</v>
      </c>
      <c r="I161" s="37" t="s">
        <v>31</v>
      </c>
      <c r="J161" s="49"/>
      <c r="K161" s="82"/>
      <c r="L161" s="40" t="s">
        <v>207</v>
      </c>
      <c r="M161" s="40" t="s">
        <v>2531</v>
      </c>
      <c r="N161" s="40" t="s">
        <v>179</v>
      </c>
      <c r="O161" s="69"/>
      <c r="P161" s="79"/>
      <c r="Q161" s="80"/>
      <c r="R161" s="80"/>
      <c r="S161" s="80"/>
      <c r="T161" s="69"/>
      <c r="U161" s="40" t="s">
        <v>2532</v>
      </c>
      <c r="V161" s="40" t="s">
        <v>63</v>
      </c>
      <c r="Z161" s="45">
        <v>43282.0</v>
      </c>
      <c r="AA161" s="57"/>
    </row>
    <row r="162">
      <c r="A162" s="81" t="s">
        <v>2026</v>
      </c>
      <c r="B162" s="102" t="s">
        <v>423</v>
      </c>
      <c r="C162" s="103">
        <v>6475.28</v>
      </c>
      <c r="D162" s="150" t="str">
        <f>HYPERLINK("https://osu.ppy.sh/u/3778766","Sophia")</f>
        <v>Sophia</v>
      </c>
      <c r="E162" s="40" t="s">
        <v>28</v>
      </c>
      <c r="F162" s="36">
        <v>1000.0</v>
      </c>
      <c r="G162" s="64" t="s">
        <v>29</v>
      </c>
      <c r="H162" s="37" t="s">
        <v>67</v>
      </c>
      <c r="I162" s="37" t="s">
        <v>229</v>
      </c>
      <c r="J162" s="38" t="s">
        <v>192</v>
      </c>
      <c r="K162" s="82"/>
      <c r="L162" s="69"/>
      <c r="M162" s="40" t="s">
        <v>300</v>
      </c>
      <c r="N162" s="40" t="s">
        <v>2533</v>
      </c>
      <c r="O162" s="69"/>
      <c r="P162" s="79"/>
      <c r="Q162" s="80"/>
      <c r="R162" s="80"/>
      <c r="S162" s="80"/>
      <c r="T162" s="69"/>
      <c r="U162" s="40" t="s">
        <v>62</v>
      </c>
      <c r="V162" s="40" t="s">
        <v>63</v>
      </c>
      <c r="Z162" s="45">
        <v>42856.0</v>
      </c>
      <c r="AA162" s="57"/>
    </row>
    <row r="163">
      <c r="A163" s="81" t="s">
        <v>2029</v>
      </c>
      <c r="B163" s="41" t="s">
        <v>2534</v>
      </c>
      <c r="C163" s="46">
        <v>6470.38</v>
      </c>
      <c r="D163" s="47" t="str">
        <f>HYPERLINK("https://osu.ppy.sh/u/1868086","Backho-")</f>
        <v>Backho-</v>
      </c>
      <c r="E163" s="61" t="s">
        <v>28</v>
      </c>
      <c r="F163" s="63">
        <v>1000.0</v>
      </c>
      <c r="G163" s="66" t="s">
        <v>78</v>
      </c>
      <c r="H163" s="66" t="s">
        <v>67</v>
      </c>
      <c r="I163" s="66" t="s">
        <v>31</v>
      </c>
      <c r="J163" s="70" t="s">
        <v>192</v>
      </c>
      <c r="K163" s="82"/>
      <c r="L163" s="61" t="s">
        <v>230</v>
      </c>
      <c r="M163" s="35" t="s">
        <v>2535</v>
      </c>
      <c r="N163" s="35" t="s">
        <v>2536</v>
      </c>
      <c r="O163" s="260" t="s">
        <v>987</v>
      </c>
      <c r="P163" s="72">
        <v>90.0</v>
      </c>
      <c r="Q163" s="73">
        <v>125.0</v>
      </c>
      <c r="R163" s="73">
        <v>64.0</v>
      </c>
      <c r="S163" s="73">
        <v>40.0</v>
      </c>
      <c r="T163" s="61" t="s">
        <v>2537</v>
      </c>
      <c r="U163" s="35" t="s">
        <v>2538</v>
      </c>
      <c r="V163" s="35" t="s">
        <v>74</v>
      </c>
      <c r="AA163" s="57"/>
    </row>
    <row r="164">
      <c r="A164" s="81" t="s">
        <v>2033</v>
      </c>
      <c r="B164" s="1" t="s">
        <v>2539</v>
      </c>
      <c r="C164" s="33">
        <v>6466.39</v>
      </c>
      <c r="D164" s="34" t="str">
        <f>HYPERLINK("https://osu.ppy.sh/u/6259946","Wexaazys")</f>
        <v>Wexaazys</v>
      </c>
      <c r="E164" s="41" t="s">
        <v>28</v>
      </c>
      <c r="G164" s="53"/>
      <c r="I164" s="53"/>
      <c r="J164" s="54"/>
      <c r="AA164" s="57"/>
    </row>
    <row r="165">
      <c r="A165" s="81" t="s">
        <v>2035</v>
      </c>
      <c r="B165" s="41" t="s">
        <v>2540</v>
      </c>
      <c r="C165" s="46">
        <v>6462.89</v>
      </c>
      <c r="D165" s="62" t="str">
        <f>HYPERLINK("https://osu.ppy.sh/u/8292488","Lazerr")</f>
        <v>Lazerr</v>
      </c>
      <c r="E165" s="61" t="s">
        <v>28</v>
      </c>
      <c r="F165" s="48" t="s">
        <v>58</v>
      </c>
      <c r="G165" s="48" t="s">
        <v>29</v>
      </c>
      <c r="H165" s="48" t="s">
        <v>2541</v>
      </c>
      <c r="I165" s="48" t="s">
        <v>31</v>
      </c>
      <c r="J165" s="59" t="s">
        <v>32</v>
      </c>
      <c r="K165" s="48" t="s">
        <v>33</v>
      </c>
      <c r="M165" s="1" t="s">
        <v>2542</v>
      </c>
      <c r="N165" s="1" t="s">
        <v>2543</v>
      </c>
      <c r="O165" s="1" t="s">
        <v>2175</v>
      </c>
      <c r="P165" s="1" t="s">
        <v>2116</v>
      </c>
      <c r="Q165" s="1" t="s">
        <v>123</v>
      </c>
      <c r="R165" s="1" t="s">
        <v>86</v>
      </c>
      <c r="S165" s="1" t="s">
        <v>323</v>
      </c>
      <c r="V165" s="1" t="s">
        <v>74</v>
      </c>
      <c r="Z165" s="45">
        <v>43282.0</v>
      </c>
    </row>
    <row r="166">
      <c r="A166" s="81" t="s">
        <v>2037</v>
      </c>
      <c r="B166" s="41" t="s">
        <v>2544</v>
      </c>
      <c r="C166" s="46">
        <v>6460.17</v>
      </c>
      <c r="D166" s="62" t="str">
        <f>HYPERLINK("https://osu.ppy.sh/u/7375858","Kaikirou")</f>
        <v>Kaikirou</v>
      </c>
      <c r="E166" s="52"/>
      <c r="F166" s="100"/>
      <c r="G166" s="101"/>
      <c r="H166" s="101"/>
      <c r="I166" s="101"/>
      <c r="J166" s="49"/>
      <c r="K166" s="82"/>
      <c r="L166" s="69"/>
      <c r="M166" s="69"/>
      <c r="N166" s="69"/>
      <c r="O166" s="69"/>
      <c r="P166" s="79"/>
      <c r="Q166" s="80"/>
      <c r="R166" s="80"/>
      <c r="S166" s="80"/>
      <c r="T166" s="69"/>
      <c r="U166" s="69"/>
      <c r="V166" s="69"/>
    </row>
    <row r="167">
      <c r="A167" s="81" t="s">
        <v>469</v>
      </c>
      <c r="B167" s="1" t="s">
        <v>2545</v>
      </c>
      <c r="C167" s="33">
        <v>6457.49</v>
      </c>
      <c r="D167" s="34" t="str">
        <f>HYPERLINK("https://osu.ppy.sh/u/3822313","Zeref")</f>
        <v>Zeref</v>
      </c>
      <c r="E167" s="41" t="s">
        <v>28</v>
      </c>
      <c r="F167" s="145"/>
      <c r="G167" s="57"/>
      <c r="H167" s="57"/>
      <c r="I167" s="57"/>
      <c r="J167" s="57"/>
      <c r="K167" s="115"/>
      <c r="L167" s="57"/>
      <c r="M167" s="57"/>
      <c r="N167" s="57"/>
      <c r="O167" s="57"/>
      <c r="P167" s="146"/>
      <c r="Q167" s="147"/>
      <c r="R167" s="147"/>
      <c r="S167" s="147"/>
      <c r="T167" s="57"/>
      <c r="U167" s="57"/>
      <c r="V167" s="57"/>
      <c r="W167" s="57"/>
      <c r="X167" s="57"/>
      <c r="Y167" s="57"/>
      <c r="Z167" s="148"/>
    </row>
    <row r="168">
      <c r="A168" s="81" t="s">
        <v>2040</v>
      </c>
      <c r="B168" s="41" t="s">
        <v>2546</v>
      </c>
      <c r="C168" s="46">
        <v>6452.51</v>
      </c>
      <c r="D168" s="47" t="str">
        <f>HYPERLINK("https://osu.ppy.sh/u/2804821","Fong29")</f>
        <v>Fong29</v>
      </c>
      <c r="E168" s="52" t="s">
        <v>28</v>
      </c>
      <c r="F168" s="100"/>
      <c r="G168" s="101"/>
      <c r="H168" s="101"/>
      <c r="I168" s="101"/>
      <c r="J168" s="49"/>
      <c r="K168" s="82"/>
      <c r="L168" s="69"/>
      <c r="M168" s="69"/>
      <c r="N168" s="69"/>
      <c r="O168" s="69"/>
      <c r="P168" s="79"/>
      <c r="Q168" s="80"/>
      <c r="R168" s="80"/>
      <c r="S168" s="80"/>
      <c r="T168" s="69"/>
      <c r="U168" s="69"/>
      <c r="V168" s="69"/>
    </row>
    <row r="169">
      <c r="A169" s="81" t="s">
        <v>2041</v>
      </c>
      <c r="B169" s="41" t="s">
        <v>2547</v>
      </c>
      <c r="C169" s="46">
        <v>6452.29</v>
      </c>
      <c r="D169" s="62" t="str">
        <f>HYPERLINK("https://osu.ppy.sh/u/2857575","BeastDog")</f>
        <v>BeastDog</v>
      </c>
      <c r="E169" s="41" t="s">
        <v>28</v>
      </c>
      <c r="F169" s="109"/>
      <c r="G169" s="53"/>
      <c r="H169" s="53"/>
      <c r="I169" s="53"/>
      <c r="J169" s="54"/>
      <c r="K169" s="60"/>
      <c r="P169" s="91"/>
      <c r="Q169" s="92"/>
      <c r="R169" s="92"/>
      <c r="S169" s="92"/>
      <c r="Z169" s="45"/>
    </row>
    <row r="170">
      <c r="A170" s="81" t="s">
        <v>2043</v>
      </c>
      <c r="B170" s="40" t="s">
        <v>2548</v>
      </c>
      <c r="C170" s="76">
        <v>6449.89</v>
      </c>
      <c r="D170" s="77" t="str">
        <f>HYPERLINK("https://osu.ppy.sh/u/7969725","Malik")</f>
        <v>Malik</v>
      </c>
      <c r="E170" s="52" t="s">
        <v>28</v>
      </c>
      <c r="F170" s="36" t="s">
        <v>58</v>
      </c>
      <c r="G170" s="37" t="s">
        <v>29</v>
      </c>
      <c r="H170" s="37" t="s">
        <v>67</v>
      </c>
      <c r="I170" s="65" t="s">
        <v>31</v>
      </c>
      <c r="J170" s="38" t="s">
        <v>32</v>
      </c>
      <c r="K170" s="39" t="s">
        <v>81</v>
      </c>
      <c r="L170" s="40" t="s">
        <v>257</v>
      </c>
      <c r="M170" s="40" t="s">
        <v>2549</v>
      </c>
      <c r="N170" s="40" t="s">
        <v>2550</v>
      </c>
      <c r="O170" s="69"/>
      <c r="P170" s="79"/>
      <c r="Q170" s="80"/>
      <c r="R170" s="80"/>
      <c r="S170" s="80"/>
      <c r="T170" s="69"/>
      <c r="U170" s="40" t="s">
        <v>174</v>
      </c>
      <c r="V170" s="40" t="s">
        <v>63</v>
      </c>
      <c r="Z170" s="45">
        <v>43617.0</v>
      </c>
    </row>
    <row r="171">
      <c r="A171" s="81" t="s">
        <v>2045</v>
      </c>
      <c r="B171" s="1" t="s">
        <v>2551</v>
      </c>
      <c r="C171" s="33">
        <v>6439.22</v>
      </c>
      <c r="D171" s="34" t="str">
        <f>HYPERLINK("https://osu.ppy.sh/u/3876121","[-Kurobuta-]")</f>
        <v>[-Kurobuta-]</v>
      </c>
      <c r="E171" s="61" t="s">
        <v>28</v>
      </c>
      <c r="G171" s="53"/>
      <c r="I171" s="53"/>
      <c r="J171" s="54"/>
    </row>
    <row r="172">
      <c r="A172" s="81" t="s">
        <v>2049</v>
      </c>
      <c r="B172" s="1" t="s">
        <v>2552</v>
      </c>
      <c r="C172" s="33">
        <v>6438.07</v>
      </c>
      <c r="D172" s="34" t="str">
        <f>HYPERLINK("https://osu.ppy.sh/u/2042565","jms8719")</f>
        <v>jms8719</v>
      </c>
      <c r="E172" s="52"/>
      <c r="F172" s="100"/>
      <c r="G172" s="101"/>
      <c r="H172" s="101"/>
      <c r="I172" s="101"/>
      <c r="J172" s="49"/>
      <c r="K172" s="82"/>
      <c r="L172" s="69"/>
      <c r="M172" s="69"/>
      <c r="N172" s="69"/>
      <c r="O172" s="69"/>
      <c r="P172" s="79"/>
      <c r="Q172" s="80"/>
      <c r="R172" s="80"/>
      <c r="S172" s="80"/>
      <c r="T172" s="69"/>
      <c r="U172" s="69"/>
      <c r="V172" s="69"/>
    </row>
    <row r="173">
      <c r="A173" s="81" t="s">
        <v>476</v>
      </c>
      <c r="B173" s="41" t="s">
        <v>2553</v>
      </c>
      <c r="C173" s="46">
        <v>6435.59</v>
      </c>
      <c r="D173" s="47" t="str">
        <f>HYPERLINK("https://osu.ppy.sh/u/7950786","Willie")</f>
        <v>Willie</v>
      </c>
      <c r="E173" s="52" t="s">
        <v>28</v>
      </c>
      <c r="F173" s="36">
        <v>600.0</v>
      </c>
      <c r="G173" s="37" t="s">
        <v>29</v>
      </c>
      <c r="H173" s="37" t="s">
        <v>1148</v>
      </c>
      <c r="I173" s="37" t="s">
        <v>31</v>
      </c>
      <c r="J173" s="38" t="s">
        <v>32</v>
      </c>
      <c r="K173" s="39">
        <v>1000.0</v>
      </c>
      <c r="L173" s="40" t="s">
        <v>536</v>
      </c>
      <c r="M173" s="40" t="s">
        <v>2554</v>
      </c>
      <c r="N173" s="40" t="s">
        <v>179</v>
      </c>
      <c r="O173" s="57"/>
      <c r="P173" s="79"/>
      <c r="Q173" s="80"/>
      <c r="R173" s="80"/>
      <c r="S173" s="80"/>
      <c r="T173" s="57"/>
      <c r="U173" s="40" t="s">
        <v>2555</v>
      </c>
      <c r="V173" s="40" t="s">
        <v>94</v>
      </c>
      <c r="Z173" s="45">
        <v>43009.0</v>
      </c>
    </row>
    <row r="174">
      <c r="A174" s="81" t="s">
        <v>2052</v>
      </c>
      <c r="B174" s="41" t="s">
        <v>2556</v>
      </c>
      <c r="C174" s="46">
        <v>6431.05</v>
      </c>
      <c r="D174" s="47" t="str">
        <f>HYPERLINK("https://osu.ppy.sh/u/5120773","Boje")</f>
        <v>Boje</v>
      </c>
      <c r="E174" s="52" t="s">
        <v>28</v>
      </c>
      <c r="F174" s="48" t="s">
        <v>813</v>
      </c>
      <c r="G174" s="48" t="s">
        <v>78</v>
      </c>
      <c r="H174" s="48" t="s">
        <v>67</v>
      </c>
      <c r="I174" s="48" t="s">
        <v>336</v>
      </c>
      <c r="J174" s="59" t="s">
        <v>32</v>
      </c>
      <c r="L174" s="1" t="s">
        <v>243</v>
      </c>
      <c r="M174" s="1" t="s">
        <v>2378</v>
      </c>
      <c r="N174" s="1" t="s">
        <v>2557</v>
      </c>
      <c r="U174" s="1" t="s">
        <v>333</v>
      </c>
      <c r="V174" s="1" t="s">
        <v>203</v>
      </c>
      <c r="Z174" s="45">
        <v>43282.0</v>
      </c>
    </row>
    <row r="175">
      <c r="A175" s="81" t="s">
        <v>2055</v>
      </c>
      <c r="B175" s="1" t="s">
        <v>2558</v>
      </c>
      <c r="C175" s="33">
        <v>6426.82</v>
      </c>
      <c r="D175" s="34" t="str">
        <f>HYPERLINK("https://osu.ppy.sh/u/63829","Bass")</f>
        <v>Bass</v>
      </c>
      <c r="E175" s="61" t="s">
        <v>320</v>
      </c>
      <c r="F175" s="63">
        <v>800.0</v>
      </c>
      <c r="G175" s="66" t="s">
        <v>29</v>
      </c>
      <c r="H175" s="66" t="s">
        <v>67</v>
      </c>
      <c r="I175" s="65" t="s">
        <v>31</v>
      </c>
      <c r="J175" s="38" t="s">
        <v>192</v>
      </c>
      <c r="K175" s="71">
        <v>1000.0</v>
      </c>
      <c r="L175" s="44" t="s">
        <v>222</v>
      </c>
      <c r="M175" s="35" t="s">
        <v>2559</v>
      </c>
      <c r="N175" s="41" t="s">
        <v>61</v>
      </c>
      <c r="O175" s="260" t="s">
        <v>278</v>
      </c>
      <c r="P175" s="79"/>
      <c r="Q175" s="80"/>
      <c r="R175" s="80"/>
      <c r="S175" s="80"/>
      <c r="T175" s="69"/>
      <c r="U175" s="35" t="s">
        <v>1181</v>
      </c>
      <c r="V175" s="69"/>
    </row>
    <row r="176">
      <c r="A176" s="81" t="s">
        <v>2057</v>
      </c>
      <c r="B176" s="41" t="s">
        <v>2560</v>
      </c>
      <c r="C176" s="46">
        <v>6401.57</v>
      </c>
      <c r="D176" s="47" t="str">
        <f>HYPERLINK("https://osu.ppy.sh/u/2072005","timemon")</f>
        <v>timemon</v>
      </c>
      <c r="E176" s="61" t="s">
        <v>28</v>
      </c>
      <c r="F176" s="63">
        <v>800.0</v>
      </c>
      <c r="G176" s="64" t="s">
        <v>29</v>
      </c>
      <c r="H176" s="64" t="s">
        <v>67</v>
      </c>
      <c r="I176" s="64" t="s">
        <v>106</v>
      </c>
      <c r="J176" s="67" t="s">
        <v>32</v>
      </c>
      <c r="K176" s="71">
        <v>1000.0</v>
      </c>
      <c r="L176" s="44" t="s">
        <v>107</v>
      </c>
      <c r="M176" s="75" t="s">
        <v>199</v>
      </c>
      <c r="N176" s="75" t="s">
        <v>179</v>
      </c>
      <c r="O176" s="75" t="s">
        <v>201</v>
      </c>
      <c r="P176" s="72">
        <v>103.0</v>
      </c>
      <c r="Q176" s="73">
        <v>136.0</v>
      </c>
      <c r="R176" s="73">
        <v>72.0</v>
      </c>
      <c r="S176" s="73">
        <v>41.0</v>
      </c>
      <c r="T176" s="44" t="s">
        <v>42</v>
      </c>
      <c r="U176" s="75" t="s">
        <v>168</v>
      </c>
      <c r="V176" s="75" t="s">
        <v>74</v>
      </c>
    </row>
    <row r="177">
      <c r="A177" s="81" t="s">
        <v>2060</v>
      </c>
      <c r="B177" s="41" t="s">
        <v>2561</v>
      </c>
      <c r="C177" s="46">
        <v>6397.11</v>
      </c>
      <c r="D177" s="62" t="str">
        <f>HYPERLINK("https://osu.ppy.sh/u/8014013","Reniro")</f>
        <v>Reniro</v>
      </c>
      <c r="E177" s="52" t="s">
        <v>28</v>
      </c>
      <c r="G177" s="53"/>
      <c r="I177" s="53"/>
      <c r="J177" s="54"/>
    </row>
    <row r="178">
      <c r="A178" s="81" t="s">
        <v>482</v>
      </c>
      <c r="B178" s="41" t="s">
        <v>2562</v>
      </c>
      <c r="C178" s="46">
        <v>6393.63</v>
      </c>
      <c r="D178" s="47" t="str">
        <f>HYPERLINK("https://osu.ppy.sh/u/3962085","Angelis")</f>
        <v>Angelis</v>
      </c>
      <c r="E178" s="52" t="s">
        <v>28</v>
      </c>
      <c r="F178" s="36" t="s">
        <v>952</v>
      </c>
      <c r="G178" s="37" t="s">
        <v>29</v>
      </c>
      <c r="H178" s="37" t="s">
        <v>67</v>
      </c>
      <c r="I178" s="37" t="s">
        <v>31</v>
      </c>
      <c r="J178" s="38" t="s">
        <v>192</v>
      </c>
      <c r="K178" s="39" t="s">
        <v>33</v>
      </c>
      <c r="L178" s="40" t="s">
        <v>1947</v>
      </c>
      <c r="M178" s="40" t="s">
        <v>238</v>
      </c>
      <c r="N178" s="40" t="s">
        <v>116</v>
      </c>
      <c r="O178" s="35" t="s">
        <v>70</v>
      </c>
      <c r="P178" s="72">
        <v>126.0</v>
      </c>
      <c r="Q178" s="73">
        <v>128.0</v>
      </c>
      <c r="R178" s="73">
        <v>76.0</v>
      </c>
      <c r="S178" s="73">
        <v>42.0</v>
      </c>
      <c r="T178" s="52" t="s">
        <v>42</v>
      </c>
      <c r="U178" s="41" t="s">
        <v>2563</v>
      </c>
      <c r="V178" s="40" t="s">
        <v>74</v>
      </c>
      <c r="Z178" s="45">
        <v>43282.0</v>
      </c>
    </row>
    <row r="179">
      <c r="A179" s="81" t="s">
        <v>2063</v>
      </c>
      <c r="B179" s="1" t="s">
        <v>2564</v>
      </c>
      <c r="C179" s="33">
        <v>6382.58</v>
      </c>
      <c r="D179" s="34" t="str">
        <f>HYPERLINK("https://osu.ppy.sh/u/5092221","Tissueman")</f>
        <v>Tissueman</v>
      </c>
      <c r="E179" s="52" t="s">
        <v>28</v>
      </c>
      <c r="F179" s="100"/>
      <c r="G179" s="101"/>
      <c r="H179" s="101"/>
      <c r="I179" s="101"/>
      <c r="J179" s="49"/>
      <c r="K179" s="82"/>
      <c r="L179" s="69"/>
      <c r="M179" s="69"/>
      <c r="N179" s="69"/>
      <c r="O179" s="69"/>
      <c r="P179" s="79"/>
      <c r="Q179" s="80"/>
      <c r="R179" s="80"/>
      <c r="S179" s="80"/>
      <c r="T179" s="69"/>
      <c r="U179" s="69"/>
      <c r="V179" s="69"/>
    </row>
    <row r="180">
      <c r="A180" s="81" t="s">
        <v>2066</v>
      </c>
      <c r="B180" s="41" t="s">
        <v>2565</v>
      </c>
      <c r="C180" s="46">
        <v>6381.4</v>
      </c>
      <c r="D180" s="47" t="str">
        <f>HYPERLINK("https://osu.ppy.sh/u/2834570","Skiant")</f>
        <v>Skiant</v>
      </c>
      <c r="E180" s="41" t="s">
        <v>28</v>
      </c>
      <c r="F180" s="58" t="s">
        <v>105</v>
      </c>
      <c r="G180" s="48" t="s">
        <v>29</v>
      </c>
      <c r="H180" s="48" t="s">
        <v>806</v>
      </c>
      <c r="I180" s="48" t="s">
        <v>31</v>
      </c>
      <c r="J180" s="59" t="s">
        <v>32</v>
      </c>
      <c r="K180" s="74" t="s">
        <v>33</v>
      </c>
      <c r="M180" s="1" t="s">
        <v>108</v>
      </c>
      <c r="N180" s="1" t="s">
        <v>2566</v>
      </c>
      <c r="O180" s="1" t="s">
        <v>109</v>
      </c>
      <c r="P180" s="91"/>
      <c r="Q180" s="92"/>
      <c r="R180" s="92"/>
      <c r="S180" s="92"/>
      <c r="U180" s="1" t="s">
        <v>1176</v>
      </c>
      <c r="V180" s="1" t="s">
        <v>2567</v>
      </c>
      <c r="Z180" s="45"/>
    </row>
    <row r="181">
      <c r="A181" s="81" t="s">
        <v>488</v>
      </c>
      <c r="B181" s="41" t="s">
        <v>2568</v>
      </c>
      <c r="C181" s="46">
        <v>6380.99</v>
      </c>
      <c r="D181" s="47" t="str">
        <f>HYPERLINK("https://osu.ppy.sh/u/298482","Minok")</f>
        <v>Minok</v>
      </c>
      <c r="E181" s="52" t="s">
        <v>28</v>
      </c>
      <c r="F181" s="36" t="s">
        <v>77</v>
      </c>
      <c r="G181" s="37" t="s">
        <v>29</v>
      </c>
      <c r="H181" s="37" t="s">
        <v>67</v>
      </c>
      <c r="I181" s="37" t="s">
        <v>293</v>
      </c>
      <c r="J181" s="49"/>
      <c r="K181" s="82"/>
      <c r="L181" s="40" t="s">
        <v>146</v>
      </c>
      <c r="M181" s="40" t="s">
        <v>108</v>
      </c>
      <c r="N181" s="69"/>
      <c r="O181" s="69"/>
      <c r="P181" s="79"/>
      <c r="Q181" s="80"/>
      <c r="R181" s="80"/>
      <c r="S181" s="80"/>
      <c r="T181" s="69"/>
      <c r="U181" s="40" t="s">
        <v>2569</v>
      </c>
      <c r="V181" s="40" t="s">
        <v>63</v>
      </c>
      <c r="Z181" s="45">
        <v>43344.0</v>
      </c>
    </row>
    <row r="182">
      <c r="A182" s="81" t="s">
        <v>2070</v>
      </c>
      <c r="B182" s="1" t="s">
        <v>2570</v>
      </c>
      <c r="C182" s="33">
        <v>6365.28</v>
      </c>
      <c r="D182" s="34" t="str">
        <f>HYPERLINK("https://osu.ppy.sh/u/989056","T o y")</f>
        <v>T o y</v>
      </c>
      <c r="E182" s="55" t="s">
        <v>28</v>
      </c>
      <c r="F182" s="109"/>
      <c r="G182" s="53"/>
      <c r="H182" s="53"/>
      <c r="I182" s="53"/>
      <c r="J182" s="54"/>
      <c r="K182" s="60"/>
      <c r="L182" s="53"/>
      <c r="P182" s="91"/>
      <c r="Q182" s="92"/>
      <c r="R182" s="93"/>
      <c r="S182" s="93"/>
      <c r="T182" s="53"/>
      <c r="U182" s="53"/>
    </row>
    <row r="183">
      <c r="A183" s="81" t="s">
        <v>2074</v>
      </c>
      <c r="B183" s="41" t="s">
        <v>2571</v>
      </c>
      <c r="C183" s="46">
        <v>6359.25</v>
      </c>
      <c r="D183" s="62" t="str">
        <f>HYPERLINK("https://osu.ppy.sh/u/3932543","norechan")</f>
        <v>norechan</v>
      </c>
      <c r="E183" s="52" t="s">
        <v>28</v>
      </c>
      <c r="F183" s="36" t="s">
        <v>77</v>
      </c>
      <c r="G183" s="37" t="s">
        <v>29</v>
      </c>
      <c r="H183" s="37" t="s">
        <v>67</v>
      </c>
      <c r="I183" s="37" t="s">
        <v>98</v>
      </c>
      <c r="J183" s="38" t="s">
        <v>32</v>
      </c>
      <c r="K183" s="39" t="s">
        <v>33</v>
      </c>
      <c r="L183" s="40" t="s">
        <v>257</v>
      </c>
      <c r="M183" s="40" t="s">
        <v>2572</v>
      </c>
      <c r="N183" s="40" t="s">
        <v>1289</v>
      </c>
      <c r="O183" s="40" t="s">
        <v>141</v>
      </c>
      <c r="P183" s="42" t="s">
        <v>187</v>
      </c>
      <c r="Q183" s="43" t="s">
        <v>39</v>
      </c>
      <c r="R183" s="43" t="s">
        <v>72</v>
      </c>
      <c r="S183" s="43" t="s">
        <v>329</v>
      </c>
      <c r="T183" s="61" t="s">
        <v>42</v>
      </c>
      <c r="U183" s="40" t="s">
        <v>2573</v>
      </c>
      <c r="V183" s="40" t="s">
        <v>89</v>
      </c>
      <c r="Z183" s="45">
        <v>43497.0</v>
      </c>
    </row>
    <row r="184">
      <c r="A184" s="81" t="s">
        <v>2078</v>
      </c>
      <c r="B184" s="1" t="s">
        <v>2574</v>
      </c>
      <c r="C184" s="33">
        <v>6351.96</v>
      </c>
      <c r="D184" s="34" t="str">
        <f>HYPERLINK("https://osu.ppy.sh/u/4546021","Darksider35")</f>
        <v>Darksider35</v>
      </c>
      <c r="E184" s="55" t="s">
        <v>28</v>
      </c>
      <c r="F184" s="109"/>
      <c r="G184" s="53"/>
      <c r="H184" s="53"/>
      <c r="I184" s="53"/>
      <c r="J184" s="54"/>
      <c r="K184" s="60"/>
      <c r="L184" s="53"/>
      <c r="P184" s="91"/>
      <c r="Q184" s="92"/>
      <c r="R184" s="93"/>
      <c r="S184" s="93"/>
      <c r="T184" s="53"/>
      <c r="U184" s="53"/>
    </row>
    <row r="185">
      <c r="A185" s="81" t="s">
        <v>493</v>
      </c>
      <c r="B185" s="41" t="s">
        <v>2575</v>
      </c>
      <c r="C185" s="46">
        <v>6341.45</v>
      </c>
      <c r="D185" s="62" t="str">
        <f>HYPERLINK("https://osu.ppy.sh/u/6591825","Pizzaroll")</f>
        <v>Pizzaroll</v>
      </c>
      <c r="E185" s="52" t="s">
        <v>28</v>
      </c>
      <c r="F185" s="100"/>
      <c r="G185" s="128"/>
      <c r="H185" s="128"/>
      <c r="I185" s="128"/>
      <c r="J185" s="129"/>
      <c r="K185" s="82"/>
      <c r="L185" s="57"/>
      <c r="M185" s="57"/>
      <c r="N185" s="57"/>
      <c r="O185" s="57"/>
      <c r="P185" s="79"/>
      <c r="Q185" s="80"/>
      <c r="R185" s="80"/>
      <c r="S185" s="80"/>
      <c r="T185" s="57"/>
      <c r="U185" s="57"/>
      <c r="V185" s="57"/>
    </row>
    <row r="186">
      <c r="A186" s="81" t="s">
        <v>2085</v>
      </c>
      <c r="B186" s="41" t="s">
        <v>2576</v>
      </c>
      <c r="C186" s="46">
        <v>6329.22</v>
      </c>
      <c r="D186" s="47" t="str">
        <f>HYPERLINK("https://osu.ppy.sh/u/2528780","Frolie")</f>
        <v>Frolie</v>
      </c>
      <c r="E186" s="52" t="s">
        <v>28</v>
      </c>
      <c r="F186" s="58" t="s">
        <v>58</v>
      </c>
      <c r="G186" s="53"/>
      <c r="H186" s="53"/>
      <c r="I186" s="53"/>
      <c r="J186" s="59" t="s">
        <v>32</v>
      </c>
      <c r="K186" s="60"/>
      <c r="P186" s="91"/>
      <c r="Q186" s="92"/>
      <c r="R186" s="92"/>
      <c r="S186" s="92"/>
      <c r="Z186" s="45"/>
    </row>
    <row r="187">
      <c r="A187" s="81" t="s">
        <v>2087</v>
      </c>
      <c r="B187" s="41" t="s">
        <v>2577</v>
      </c>
      <c r="C187" s="46">
        <v>6328.66</v>
      </c>
      <c r="D187" s="47" t="str">
        <f>HYPERLINK("https://osu.ppy.sh/u/4374286","iaace")</f>
        <v>iaace</v>
      </c>
      <c r="E187" s="35" t="s">
        <v>28</v>
      </c>
      <c r="F187" s="63">
        <v>1650.0</v>
      </c>
      <c r="G187" s="66" t="s">
        <v>29</v>
      </c>
      <c r="H187" s="66" t="s">
        <v>67</v>
      </c>
      <c r="I187" s="66" t="s">
        <v>267</v>
      </c>
      <c r="J187" s="70" t="s">
        <v>32</v>
      </c>
      <c r="K187" s="71">
        <v>1000.0</v>
      </c>
      <c r="L187" s="61" t="s">
        <v>2578</v>
      </c>
      <c r="M187" s="35" t="s">
        <v>238</v>
      </c>
      <c r="N187" s="35" t="s">
        <v>295</v>
      </c>
      <c r="O187" s="35" t="s">
        <v>70</v>
      </c>
      <c r="P187" s="72">
        <v>126.0</v>
      </c>
      <c r="Q187" s="73">
        <v>128.0</v>
      </c>
      <c r="R187" s="73">
        <v>76.0</v>
      </c>
      <c r="S187" s="73">
        <v>42.0</v>
      </c>
      <c r="T187" s="52" t="s">
        <v>42</v>
      </c>
      <c r="U187" s="75" t="s">
        <v>2579</v>
      </c>
      <c r="V187" s="75" t="s">
        <v>74</v>
      </c>
    </row>
    <row r="188">
      <c r="A188" s="81" t="s">
        <v>2091</v>
      </c>
      <c r="B188" s="40" t="s">
        <v>2580</v>
      </c>
      <c r="C188" s="76">
        <v>6327.36</v>
      </c>
      <c r="D188" s="77" t="str">
        <f>HYPERLINK("https://osu.ppy.sh/u/3152687","tryaway")</f>
        <v>tryaway</v>
      </c>
      <c r="E188" s="52" t="s">
        <v>28</v>
      </c>
      <c r="F188" s="36" t="s">
        <v>2581</v>
      </c>
      <c r="G188" s="37" t="s">
        <v>29</v>
      </c>
      <c r="H188" s="37" t="s">
        <v>67</v>
      </c>
      <c r="I188" s="101"/>
      <c r="J188" s="38" t="s">
        <v>32</v>
      </c>
      <c r="K188" s="82"/>
      <c r="L188" s="69"/>
      <c r="M188" s="40" t="s">
        <v>199</v>
      </c>
      <c r="N188" s="1" t="s">
        <v>61</v>
      </c>
      <c r="O188" s="75" t="s">
        <v>201</v>
      </c>
      <c r="P188" s="72">
        <v>103.0</v>
      </c>
      <c r="Q188" s="73">
        <v>136.0</v>
      </c>
      <c r="R188" s="73">
        <v>72.0</v>
      </c>
      <c r="S188" s="73">
        <v>41.0</v>
      </c>
      <c r="T188" s="44" t="s">
        <v>42</v>
      </c>
      <c r="U188" s="40" t="s">
        <v>252</v>
      </c>
      <c r="V188" s="69"/>
    </row>
    <row r="189">
      <c r="A189" s="81" t="s">
        <v>2092</v>
      </c>
      <c r="B189" s="111" t="s">
        <v>423</v>
      </c>
      <c r="C189" s="112">
        <v>6324.8</v>
      </c>
      <c r="D189" s="113" t="str">
        <f>HYPERLINK("https://osu.ppy.sh/u/496424","ivaz")</f>
        <v>ivaz</v>
      </c>
      <c r="E189" s="61" t="s">
        <v>28</v>
      </c>
      <c r="F189" s="63">
        <v>800.0</v>
      </c>
      <c r="G189" s="101"/>
      <c r="H189" s="101"/>
      <c r="I189" s="101"/>
      <c r="J189" s="49"/>
      <c r="K189" s="82"/>
      <c r="L189" s="69"/>
      <c r="M189" s="35" t="s">
        <v>2218</v>
      </c>
      <c r="N189" s="69"/>
      <c r="O189" s="35" t="s">
        <v>2582</v>
      </c>
      <c r="P189" s="79"/>
      <c r="Q189" s="80"/>
      <c r="R189" s="80"/>
      <c r="S189" s="80"/>
      <c r="T189" s="69"/>
      <c r="U189" s="35" t="s">
        <v>2583</v>
      </c>
      <c r="V189" s="35" t="s">
        <v>74</v>
      </c>
    </row>
    <row r="190">
      <c r="A190" s="81" t="s">
        <v>2097</v>
      </c>
      <c r="B190" s="102" t="s">
        <v>423</v>
      </c>
      <c r="C190" s="103">
        <v>6321.61</v>
      </c>
      <c r="D190" s="150" t="str">
        <f>HYPERLINK("https://osu.ppy.sh/u/2582898","Hitoyomi")</f>
        <v>Hitoyomi</v>
      </c>
      <c r="E190" s="41" t="s">
        <v>28</v>
      </c>
      <c r="F190" s="109"/>
      <c r="G190" s="53"/>
      <c r="H190" s="53"/>
      <c r="I190" s="53"/>
      <c r="J190" s="54"/>
      <c r="K190" s="60"/>
      <c r="P190" s="91"/>
      <c r="Q190" s="92"/>
      <c r="R190" s="92"/>
      <c r="S190" s="92"/>
      <c r="Z190" s="45"/>
    </row>
    <row r="191">
      <c r="A191" s="81" t="s">
        <v>501</v>
      </c>
      <c r="B191" s="41" t="s">
        <v>2584</v>
      </c>
      <c r="C191" s="46">
        <v>6301.34</v>
      </c>
      <c r="D191" s="47" t="str">
        <f>HYPERLINK("https://osu.ppy.sh/u/1047933","Vellali")</f>
        <v>Vellali</v>
      </c>
      <c r="E191" s="52" t="s">
        <v>28</v>
      </c>
      <c r="F191" s="100"/>
      <c r="G191" s="101"/>
      <c r="H191" s="101"/>
      <c r="I191" s="101"/>
      <c r="J191" s="49"/>
      <c r="K191" s="82"/>
      <c r="L191" s="69"/>
      <c r="M191" s="69"/>
      <c r="N191" s="69"/>
      <c r="O191" s="69"/>
      <c r="P191" s="79"/>
      <c r="Q191" s="80"/>
      <c r="R191" s="80"/>
      <c r="S191" s="80"/>
      <c r="T191" s="69"/>
      <c r="U191" s="69"/>
      <c r="V191" s="69"/>
    </row>
    <row r="192">
      <c r="A192" s="81" t="s">
        <v>506</v>
      </c>
      <c r="B192" s="1" t="s">
        <v>2585</v>
      </c>
      <c r="C192" s="33">
        <v>6299.32</v>
      </c>
      <c r="D192" s="34" t="str">
        <f>HYPERLINK("https://osu.ppy.sh/u/5661237","Vio")</f>
        <v>Vio</v>
      </c>
      <c r="E192" s="52" t="s">
        <v>28</v>
      </c>
      <c r="F192" s="100"/>
      <c r="G192" s="101"/>
      <c r="H192" s="101"/>
      <c r="I192" s="101"/>
      <c r="J192" s="49"/>
      <c r="K192" s="82"/>
      <c r="L192" s="69"/>
      <c r="M192" s="69"/>
      <c r="N192" s="69"/>
      <c r="O192" s="69"/>
      <c r="P192" s="79"/>
      <c r="Q192" s="80"/>
      <c r="R192" s="80"/>
      <c r="S192" s="80"/>
      <c r="T192" s="69"/>
      <c r="U192" s="69"/>
      <c r="V192" s="69"/>
    </row>
    <row r="193">
      <c r="A193" s="81" t="s">
        <v>2100</v>
      </c>
      <c r="B193" s="41" t="s">
        <v>2586</v>
      </c>
      <c r="C193" s="46">
        <v>6298.75</v>
      </c>
      <c r="D193" s="62" t="str">
        <f>HYPERLINK("https://osu.ppy.sh/u/6056288","[MY]error_exe")</f>
        <v>[MY]error_exe</v>
      </c>
      <c r="E193" s="35" t="s">
        <v>571</v>
      </c>
      <c r="G193" s="53"/>
      <c r="I193" s="53"/>
      <c r="J193" s="54"/>
    </row>
    <row r="194">
      <c r="A194" s="81" t="s">
        <v>2102</v>
      </c>
      <c r="B194" s="41" t="s">
        <v>2587</v>
      </c>
      <c r="C194" s="46">
        <v>6292.42</v>
      </c>
      <c r="D194" s="62" t="str">
        <f>HYPERLINK("https://osu.ppy.sh/u/2271722","Skyzo")</f>
        <v>Skyzo</v>
      </c>
      <c r="E194" s="35" t="s">
        <v>28</v>
      </c>
      <c r="F194" s="63">
        <v>400.0</v>
      </c>
      <c r="G194" s="66" t="s">
        <v>2148</v>
      </c>
      <c r="H194" s="66" t="s">
        <v>2263</v>
      </c>
      <c r="I194" s="66" t="s">
        <v>31</v>
      </c>
      <c r="J194" s="70" t="s">
        <v>32</v>
      </c>
      <c r="K194" s="71">
        <v>500.0</v>
      </c>
      <c r="L194" s="61" t="s">
        <v>222</v>
      </c>
      <c r="M194" s="75" t="s">
        <v>2588</v>
      </c>
      <c r="N194" s="75" t="s">
        <v>2252</v>
      </c>
      <c r="O194" s="35" t="s">
        <v>2589</v>
      </c>
      <c r="P194" s="79"/>
      <c r="Q194" s="80"/>
      <c r="R194" s="80"/>
      <c r="S194" s="80"/>
      <c r="T194" s="57"/>
      <c r="U194" s="75" t="s">
        <v>117</v>
      </c>
      <c r="V194" s="75" t="s">
        <v>74</v>
      </c>
      <c r="Z194" s="45">
        <v>42795.0</v>
      </c>
    </row>
    <row r="195">
      <c r="A195" s="81" t="s">
        <v>2104</v>
      </c>
      <c r="B195" s="1" t="s">
        <v>2590</v>
      </c>
      <c r="C195" s="33">
        <v>6288.94</v>
      </c>
      <c r="D195" s="34" t="str">
        <f>HYPERLINK("https://osu.ppy.sh/u/194294","Mara")</f>
        <v>Mara</v>
      </c>
      <c r="E195" s="52" t="s">
        <v>28</v>
      </c>
      <c r="F195" s="48" t="s">
        <v>813</v>
      </c>
      <c r="G195" s="48" t="s">
        <v>29</v>
      </c>
      <c r="H195" s="48" t="s">
        <v>67</v>
      </c>
      <c r="I195" s="37" t="s">
        <v>31</v>
      </c>
      <c r="J195" s="54"/>
      <c r="K195" s="39" t="s">
        <v>33</v>
      </c>
      <c r="M195" s="1" t="s">
        <v>2591</v>
      </c>
      <c r="N195" s="1" t="s">
        <v>2592</v>
      </c>
      <c r="U195" s="1" t="s">
        <v>180</v>
      </c>
      <c r="V195" s="1" t="s">
        <v>89</v>
      </c>
    </row>
    <row r="196">
      <c r="A196" s="81" t="s">
        <v>2106</v>
      </c>
      <c r="B196" s="41" t="s">
        <v>2593</v>
      </c>
      <c r="C196" s="46">
        <v>6288.47</v>
      </c>
      <c r="D196" s="62" t="str">
        <f>HYPERLINK("https://osu.ppy.sh/u/3222191","Ultimate-Igniz")</f>
        <v>Ultimate-Igniz</v>
      </c>
      <c r="E196" s="41" t="s">
        <v>28</v>
      </c>
      <c r="G196" s="53"/>
      <c r="I196" s="53"/>
      <c r="J196" s="54"/>
    </row>
    <row r="197">
      <c r="A197" s="81" t="s">
        <v>2108</v>
      </c>
      <c r="B197" s="102" t="s">
        <v>423</v>
      </c>
      <c r="C197" s="103">
        <v>6285.49</v>
      </c>
      <c r="D197" s="137" t="str">
        <f>HYPERLINK("https://osu.ppy.sh/u/3936503","_indecchi")</f>
        <v>_indecchi</v>
      </c>
      <c r="E197" s="61" t="s">
        <v>28</v>
      </c>
      <c r="G197" s="53"/>
      <c r="I197" s="53"/>
      <c r="J197" s="54"/>
    </row>
    <row r="198">
      <c r="A198" s="81" t="s">
        <v>2110</v>
      </c>
      <c r="B198" s="102" t="s">
        <v>423</v>
      </c>
      <c r="C198" s="103">
        <v>6276.8</v>
      </c>
      <c r="D198" s="104" t="str">
        <f>HYPERLINK("https://osu.ppy.sh/u/4258029","DO96CH")</f>
        <v>DO96CH</v>
      </c>
      <c r="E198" s="35" t="s">
        <v>372</v>
      </c>
      <c r="F198" s="100"/>
      <c r="G198" s="128"/>
      <c r="H198" s="128"/>
      <c r="I198" s="128"/>
      <c r="J198" s="129"/>
      <c r="K198" s="82"/>
      <c r="L198" s="57"/>
      <c r="M198" s="69"/>
      <c r="N198" s="69"/>
      <c r="O198" s="69"/>
      <c r="P198" s="79"/>
      <c r="Q198" s="80"/>
      <c r="R198" s="80"/>
      <c r="S198" s="80"/>
      <c r="T198" s="57"/>
      <c r="U198" s="57"/>
      <c r="V198" s="57"/>
    </row>
    <row r="199">
      <c r="A199" s="81" t="s">
        <v>2119</v>
      </c>
      <c r="B199" s="41" t="s">
        <v>2594</v>
      </c>
      <c r="C199" s="46">
        <v>6258.87</v>
      </c>
      <c r="D199" s="47" t="str">
        <f>HYPERLINK("https://osu.ppy.sh/u/5128742","przemas1111")</f>
        <v>przemas1111</v>
      </c>
      <c r="E199" s="52" t="s">
        <v>28</v>
      </c>
      <c r="F199" s="36" t="s">
        <v>105</v>
      </c>
      <c r="G199" s="37" t="s">
        <v>29</v>
      </c>
      <c r="H199" s="37" t="s">
        <v>2595</v>
      </c>
      <c r="I199" s="37" t="s">
        <v>404</v>
      </c>
      <c r="J199" s="38" t="s">
        <v>32</v>
      </c>
      <c r="K199" s="39" t="s">
        <v>33</v>
      </c>
      <c r="L199" s="40" t="s">
        <v>257</v>
      </c>
      <c r="M199" s="40" t="s">
        <v>185</v>
      </c>
      <c r="N199" s="40" t="s">
        <v>174</v>
      </c>
      <c r="O199" s="40" t="s">
        <v>141</v>
      </c>
      <c r="P199" s="42" t="s">
        <v>187</v>
      </c>
      <c r="Q199" s="43" t="s">
        <v>39</v>
      </c>
      <c r="R199" s="43" t="s">
        <v>72</v>
      </c>
      <c r="S199" s="43" t="s">
        <v>41</v>
      </c>
      <c r="T199" s="40" t="s">
        <v>42</v>
      </c>
      <c r="U199" s="40" t="s">
        <v>2596</v>
      </c>
      <c r="V199" s="40" t="s">
        <v>74</v>
      </c>
      <c r="Z199" s="45">
        <v>43344.0</v>
      </c>
    </row>
    <row r="200">
      <c r="A200" s="81" t="s">
        <v>2121</v>
      </c>
      <c r="B200" s="1" t="s">
        <v>2597</v>
      </c>
      <c r="C200" s="33">
        <v>6258.78</v>
      </c>
      <c r="D200" s="34" t="str">
        <f>HYPERLINK("https://osu.ppy.sh/u/8550716","Hicham")</f>
        <v>Hicham</v>
      </c>
      <c r="E200" s="52" t="s">
        <v>28</v>
      </c>
      <c r="F200" s="100"/>
      <c r="G200" s="101"/>
      <c r="H200" s="101"/>
      <c r="I200" s="101"/>
      <c r="J200" s="49"/>
      <c r="K200" s="82"/>
      <c r="L200" s="69"/>
      <c r="M200" s="69"/>
      <c r="N200" s="69"/>
      <c r="O200" s="69"/>
      <c r="P200" s="79"/>
      <c r="Q200" s="80"/>
      <c r="R200" s="80"/>
      <c r="S200" s="80"/>
      <c r="T200" s="69"/>
      <c r="U200" s="69"/>
      <c r="V200" s="69"/>
    </row>
    <row r="201">
      <c r="A201" s="81" t="s">
        <v>2123</v>
      </c>
      <c r="B201" s="1" t="s">
        <v>2598</v>
      </c>
      <c r="C201" s="33">
        <v>6258.03</v>
      </c>
      <c r="D201" s="34" t="str">
        <f>HYPERLINK("https://osu.ppy.sh/u/6762949","The Third Boy")</f>
        <v>The Third Boy</v>
      </c>
      <c r="E201" s="52" t="s">
        <v>28</v>
      </c>
      <c r="F201" s="36" t="s">
        <v>105</v>
      </c>
      <c r="G201" s="37" t="s">
        <v>1571</v>
      </c>
      <c r="H201" s="37" t="s">
        <v>67</v>
      </c>
      <c r="I201" s="37" t="s">
        <v>106</v>
      </c>
      <c r="J201" s="38" t="s">
        <v>32</v>
      </c>
      <c r="K201" s="39" t="s">
        <v>33</v>
      </c>
      <c r="L201" s="44" t="s">
        <v>107</v>
      </c>
      <c r="M201" s="40" t="s">
        <v>130</v>
      </c>
      <c r="N201" s="40" t="s">
        <v>179</v>
      </c>
      <c r="O201" s="1" t="s">
        <v>70</v>
      </c>
      <c r="P201" s="72" t="s">
        <v>132</v>
      </c>
      <c r="Q201" s="73">
        <v>124.0</v>
      </c>
      <c r="R201" s="73">
        <v>68.0</v>
      </c>
      <c r="S201" s="73">
        <v>43.0</v>
      </c>
      <c r="T201" s="61" t="s">
        <v>42</v>
      </c>
      <c r="U201" s="40" t="s">
        <v>2599</v>
      </c>
      <c r="V201" s="40" t="s">
        <v>63</v>
      </c>
      <c r="Z201" s="45">
        <v>43405.0</v>
      </c>
    </row>
    <row r="202">
      <c r="A202" s="81" t="s">
        <v>2125</v>
      </c>
      <c r="B202" s="41" t="s">
        <v>2600</v>
      </c>
      <c r="C202" s="46">
        <v>6257.4</v>
      </c>
      <c r="D202" s="83" t="str">
        <f>HYPERLINK("https://osu.ppy.sh/u/3481529","Pogge")</f>
        <v>Pogge</v>
      </c>
      <c r="E202" s="52" t="s">
        <v>571</v>
      </c>
      <c r="F202" s="58" t="s">
        <v>779</v>
      </c>
      <c r="G202" s="53"/>
      <c r="H202" s="48" t="s">
        <v>67</v>
      </c>
      <c r="I202" s="37" t="s">
        <v>31</v>
      </c>
      <c r="J202" s="59" t="s">
        <v>32</v>
      </c>
      <c r="K202" s="74" t="s">
        <v>33</v>
      </c>
      <c r="M202" s="1" t="s">
        <v>2378</v>
      </c>
      <c r="N202" s="1" t="s">
        <v>2601</v>
      </c>
      <c r="P202" s="91"/>
      <c r="Q202" s="92"/>
      <c r="R202" s="92"/>
      <c r="S202" s="92"/>
      <c r="U202" s="1" t="s">
        <v>2602</v>
      </c>
      <c r="V202" s="1" t="s">
        <v>1693</v>
      </c>
      <c r="Z202" s="45"/>
    </row>
    <row r="203">
      <c r="A203" s="81" t="s">
        <v>2127</v>
      </c>
      <c r="B203" s="41" t="s">
        <v>2603</v>
      </c>
      <c r="C203" s="46">
        <v>6255.18</v>
      </c>
      <c r="D203" s="47" t="str">
        <f>HYPERLINK("https://osu.ppy.sh/u/5073441","unamu")</f>
        <v>unamu</v>
      </c>
      <c r="E203" s="52" t="s">
        <v>28</v>
      </c>
      <c r="F203" s="100"/>
      <c r="G203" s="128"/>
      <c r="H203" s="128"/>
      <c r="I203" s="128"/>
      <c r="J203" s="129"/>
      <c r="K203" s="82"/>
      <c r="L203" s="57"/>
      <c r="M203" s="57"/>
      <c r="N203" s="57"/>
      <c r="O203" s="57"/>
      <c r="P203" s="79"/>
      <c r="Q203" s="80"/>
      <c r="R203" s="80"/>
      <c r="S203" s="80"/>
      <c r="T203" s="57"/>
      <c r="U203" s="57"/>
      <c r="V203" s="57"/>
    </row>
    <row r="204">
      <c r="A204" s="81" t="s">
        <v>2129</v>
      </c>
      <c r="B204" s="41" t="s">
        <v>2604</v>
      </c>
      <c r="C204" s="46">
        <v>6254.27</v>
      </c>
      <c r="D204" s="62" t="str">
        <f>HYPERLINK("https://osu.ppy.sh/u/2460891","Kiyatheumbreon")</f>
        <v>Kiyatheumbreon</v>
      </c>
      <c r="E204" s="61" t="s">
        <v>28</v>
      </c>
      <c r="G204" s="53"/>
      <c r="I204" s="53"/>
      <c r="J204" s="54"/>
    </row>
    <row r="205">
      <c r="A205" s="81" t="s">
        <v>2131</v>
      </c>
      <c r="B205" s="41" t="s">
        <v>2605</v>
      </c>
      <c r="C205" s="46">
        <v>6253.25</v>
      </c>
      <c r="D205" s="47" t="str">
        <f>HYPERLINK("https://osu.ppy.sh/u/1328414","tdks123")</f>
        <v>tdks123</v>
      </c>
      <c r="E205" s="61" t="s">
        <v>28</v>
      </c>
      <c r="F205" s="100"/>
      <c r="G205" s="128"/>
      <c r="H205" s="128"/>
      <c r="I205" s="128"/>
      <c r="J205" s="129"/>
      <c r="K205" s="82"/>
      <c r="L205" s="57"/>
      <c r="M205" s="57"/>
      <c r="N205" s="57"/>
      <c r="O205" s="57"/>
      <c r="P205" s="79"/>
      <c r="Q205" s="80"/>
      <c r="R205" s="80"/>
      <c r="S205" s="80"/>
      <c r="T205" s="57"/>
      <c r="U205" s="57"/>
      <c r="V205" s="57"/>
    </row>
    <row r="206">
      <c r="A206" s="81" t="s">
        <v>2135</v>
      </c>
      <c r="B206" s="41" t="s">
        <v>2606</v>
      </c>
      <c r="C206" s="46">
        <v>6244.84</v>
      </c>
      <c r="D206" s="83" t="str">
        <f>HYPERLINK("https://osu.ppy.sh/u/372413","aaa840905")</f>
        <v>aaa840905</v>
      </c>
      <c r="E206" s="35" t="s">
        <v>571</v>
      </c>
      <c r="F206" s="100"/>
      <c r="G206" s="128"/>
      <c r="H206" s="128"/>
      <c r="I206" s="128"/>
      <c r="J206" s="129"/>
      <c r="K206" s="82"/>
      <c r="L206" s="57"/>
      <c r="M206" s="57"/>
      <c r="N206" s="57"/>
      <c r="O206" s="57"/>
      <c r="P206" s="79"/>
      <c r="Q206" s="80"/>
      <c r="R206" s="80"/>
      <c r="S206" s="80"/>
      <c r="T206" s="57"/>
      <c r="U206" s="57"/>
      <c r="V206" s="57"/>
    </row>
    <row r="207">
      <c r="A207" s="81" t="s">
        <v>2137</v>
      </c>
      <c r="B207" s="41" t="s">
        <v>2607</v>
      </c>
      <c r="C207" s="46">
        <v>6243.9</v>
      </c>
      <c r="D207" s="47" t="str">
        <f>HYPERLINK("https://osu.ppy.sh/u/3433041","lio11234a")</f>
        <v>lio11234a</v>
      </c>
      <c r="E207" s="61" t="s">
        <v>28</v>
      </c>
      <c r="G207" s="53"/>
      <c r="I207" s="53"/>
      <c r="J207" s="54"/>
    </row>
    <row r="208">
      <c r="A208" s="81" t="s">
        <v>2141</v>
      </c>
      <c r="B208" s="102" t="s">
        <v>423</v>
      </c>
      <c r="C208" s="103">
        <v>6229.98</v>
      </c>
      <c r="D208" s="137" t="str">
        <f>HYPERLINK("https://osu.ppy.sh/u/4297325","[-FlyingRUPig-]")</f>
        <v>[-FlyingRUPig-]</v>
      </c>
      <c r="E208" s="40" t="s">
        <v>28</v>
      </c>
      <c r="F208" s="100"/>
      <c r="G208" s="128"/>
      <c r="H208" s="128"/>
      <c r="I208" s="128"/>
      <c r="J208" s="129"/>
      <c r="K208" s="82"/>
      <c r="L208" s="57"/>
      <c r="M208" s="57"/>
      <c r="N208" s="57"/>
      <c r="O208" s="57"/>
      <c r="P208" s="79"/>
      <c r="Q208" s="80"/>
      <c r="R208" s="80"/>
      <c r="S208" s="80"/>
      <c r="T208" s="57"/>
      <c r="U208" s="57"/>
      <c r="V208" s="57"/>
    </row>
    <row r="209">
      <c r="A209" s="81" t="s">
        <v>2143</v>
      </c>
      <c r="B209" s="1" t="s">
        <v>2608</v>
      </c>
      <c r="C209" s="33">
        <v>6217.83</v>
      </c>
      <c r="D209" s="34" t="str">
        <f>HYPERLINK("https://osu.ppy.sh/u/4521213","Sh0kku")</f>
        <v>Sh0kku</v>
      </c>
      <c r="E209" s="41" t="s">
        <v>28</v>
      </c>
      <c r="G209" s="53"/>
      <c r="I209" s="53"/>
      <c r="J209" s="54"/>
    </row>
    <row r="210">
      <c r="A210" s="81" t="s">
        <v>2145</v>
      </c>
      <c r="B210" s="41" t="s">
        <v>2609</v>
      </c>
      <c r="C210" s="46">
        <v>6217.67</v>
      </c>
      <c r="D210" s="83" t="str">
        <f>HYPERLINK("https://osu.ppy.sh/u/457523","Deolink")</f>
        <v>Deolink</v>
      </c>
      <c r="E210" s="52" t="s">
        <v>571</v>
      </c>
      <c r="F210" s="100"/>
      <c r="G210" s="101"/>
      <c r="H210" s="101"/>
      <c r="I210" s="101"/>
      <c r="J210" s="49"/>
      <c r="K210" s="82"/>
      <c r="L210" s="69"/>
      <c r="M210" s="69"/>
      <c r="N210" s="69"/>
      <c r="O210" s="69"/>
      <c r="P210" s="79"/>
      <c r="Q210" s="80"/>
      <c r="R210" s="80"/>
      <c r="S210" s="80"/>
      <c r="T210" s="69"/>
      <c r="U210" s="69"/>
      <c r="V210" s="69"/>
    </row>
    <row r="211">
      <c r="A211" s="81" t="s">
        <v>2146</v>
      </c>
      <c r="B211" s="41" t="s">
        <v>2610</v>
      </c>
      <c r="C211" s="46">
        <v>6208.22</v>
      </c>
      <c r="D211" s="105" t="str">
        <f>HYPERLINK("https://osu.ppy.sh/u/2410623","-[Seon]-")</f>
        <v>-[Seon]-</v>
      </c>
      <c r="E211" s="52" t="s">
        <v>28</v>
      </c>
      <c r="F211" s="100"/>
      <c r="G211" s="101"/>
      <c r="H211" s="101"/>
      <c r="I211" s="101"/>
      <c r="J211" s="49"/>
      <c r="K211" s="82"/>
      <c r="L211" s="69"/>
      <c r="M211" s="69"/>
      <c r="N211" s="69"/>
      <c r="O211" s="69"/>
      <c r="P211" s="79"/>
      <c r="Q211" s="80"/>
      <c r="R211" s="80"/>
      <c r="S211" s="80"/>
      <c r="T211" s="69"/>
      <c r="U211" s="69"/>
      <c r="V211" s="69"/>
    </row>
    <row r="212">
      <c r="A212" s="81" t="s">
        <v>2151</v>
      </c>
      <c r="B212" s="1" t="s">
        <v>2611</v>
      </c>
      <c r="C212" s="33">
        <v>6207.84</v>
      </c>
      <c r="D212" s="34" t="str">
        <f>HYPERLINK("https://osu.ppy.sh/u/4186395","[ Kieru ]")</f>
        <v>[ Kieru ]</v>
      </c>
      <c r="E212" s="52" t="s">
        <v>28</v>
      </c>
      <c r="F212" s="36" t="s">
        <v>813</v>
      </c>
      <c r="G212" s="101"/>
      <c r="H212" s="101"/>
      <c r="I212" s="101"/>
      <c r="J212" s="49"/>
      <c r="K212" s="82"/>
      <c r="L212" s="69"/>
      <c r="M212" s="69"/>
      <c r="N212" s="69"/>
      <c r="O212" s="69"/>
      <c r="P212" s="79"/>
      <c r="Q212" s="80"/>
      <c r="R212" s="80"/>
      <c r="S212" s="80"/>
      <c r="T212" s="69"/>
      <c r="U212" s="69"/>
      <c r="V212" s="69"/>
    </row>
    <row r="213">
      <c r="A213" s="81" t="s">
        <v>2153</v>
      </c>
      <c r="B213" s="41" t="s">
        <v>2612</v>
      </c>
      <c r="C213" s="46">
        <v>6199.63</v>
      </c>
      <c r="D213" s="47" t="str">
        <f>HYPERLINK("https://osu.ppy.sh/u/3547310","AbuseYourDNA")</f>
        <v>AbuseYourDNA</v>
      </c>
      <c r="E213" s="41" t="s">
        <v>28</v>
      </c>
      <c r="F213" s="109"/>
      <c r="G213" s="53"/>
      <c r="H213" s="53"/>
      <c r="I213" s="53"/>
      <c r="J213" s="54"/>
      <c r="K213" s="60"/>
      <c r="P213" s="91"/>
      <c r="Q213" s="92"/>
      <c r="R213" s="92"/>
      <c r="S213" s="92"/>
      <c r="Z213" s="45"/>
    </row>
    <row r="214">
      <c r="A214" s="81" t="s">
        <v>2157</v>
      </c>
      <c r="B214" s="1" t="s">
        <v>2613</v>
      </c>
      <c r="C214" s="33">
        <v>6193.11</v>
      </c>
      <c r="D214" s="34" t="str">
        <f>HYPERLINK("https://osu.ppy.sh/u/2607507","Sylux6")</f>
        <v>Sylux6</v>
      </c>
      <c r="E214" s="35" t="s">
        <v>571</v>
      </c>
      <c r="F214" s="36" t="s">
        <v>105</v>
      </c>
      <c r="G214" s="37" t="s">
        <v>29</v>
      </c>
      <c r="H214" s="37" t="s">
        <v>172</v>
      </c>
      <c r="I214" s="37" t="s">
        <v>31</v>
      </c>
      <c r="J214" s="38" t="s">
        <v>32</v>
      </c>
      <c r="K214" s="39" t="s">
        <v>81</v>
      </c>
      <c r="L214" s="40" t="s">
        <v>114</v>
      </c>
      <c r="M214" s="40" t="s">
        <v>971</v>
      </c>
      <c r="N214" s="40" t="s">
        <v>2614</v>
      </c>
      <c r="O214" s="57"/>
      <c r="P214" s="42" t="s">
        <v>2615</v>
      </c>
      <c r="Q214" s="43" t="s">
        <v>1121</v>
      </c>
      <c r="R214" s="43" t="s">
        <v>347</v>
      </c>
      <c r="S214" s="43" t="s">
        <v>368</v>
      </c>
      <c r="T214" s="61" t="s">
        <v>42</v>
      </c>
      <c r="U214" s="40" t="s">
        <v>609</v>
      </c>
      <c r="V214" s="40" t="s">
        <v>94</v>
      </c>
      <c r="Z214" s="45">
        <v>43282.0</v>
      </c>
    </row>
    <row r="215">
      <c r="A215" s="81" t="s">
        <v>2161</v>
      </c>
      <c r="B215" s="1" t="s">
        <v>2616</v>
      </c>
      <c r="C215" s="33">
        <v>6183.73</v>
      </c>
      <c r="D215" s="34" t="str">
        <f>HYPERLINK("https://osu.ppy.sh/u/5168160","kelong")</f>
        <v>kelong</v>
      </c>
      <c r="E215" s="52" t="s">
        <v>28</v>
      </c>
      <c r="F215" s="100"/>
      <c r="G215" s="101"/>
      <c r="H215" s="101"/>
      <c r="I215" s="101"/>
      <c r="J215" s="49"/>
      <c r="K215" s="82"/>
      <c r="L215" s="69"/>
      <c r="M215" s="69"/>
      <c r="N215" s="69"/>
      <c r="O215" s="69"/>
      <c r="P215" s="79"/>
      <c r="Q215" s="80"/>
      <c r="R215" s="80"/>
      <c r="S215" s="80"/>
      <c r="T215" s="69"/>
      <c r="U215" s="69"/>
      <c r="V215" s="69"/>
    </row>
    <row r="216">
      <c r="A216" s="81" t="s">
        <v>2164</v>
      </c>
      <c r="B216" s="41" t="s">
        <v>2617</v>
      </c>
      <c r="C216" s="46">
        <v>6152.91</v>
      </c>
      <c r="D216" s="47" t="str">
        <f>HYPERLINK("https://osu.ppy.sh/u/2370606","Indigowizdom")</f>
        <v>Indigowizdom</v>
      </c>
      <c r="E216" s="41" t="s">
        <v>28</v>
      </c>
      <c r="F216" s="58"/>
      <c r="G216" s="53"/>
      <c r="H216" s="53"/>
      <c r="I216" s="53"/>
      <c r="J216" s="54"/>
      <c r="K216" s="60"/>
      <c r="P216" s="91"/>
      <c r="Q216" s="92"/>
      <c r="R216" s="92"/>
      <c r="S216" s="92"/>
      <c r="Z216" s="45"/>
    </row>
    <row r="217">
      <c r="A217" s="81" t="s">
        <v>2618</v>
      </c>
      <c r="B217" s="1" t="s">
        <v>2619</v>
      </c>
      <c r="C217" s="33">
        <v>6150.23</v>
      </c>
      <c r="D217" s="34" t="str">
        <f>HYPERLINK("https://osu.ppy.sh/u/2383722","xmelior")</f>
        <v>xmelior</v>
      </c>
      <c r="E217" s="41" t="s">
        <v>28</v>
      </c>
      <c r="F217" s="145"/>
      <c r="G217" s="57"/>
      <c r="H217" s="57"/>
      <c r="I217" s="57"/>
      <c r="J217" s="57"/>
      <c r="K217" s="115"/>
      <c r="L217" s="57"/>
      <c r="M217" s="57"/>
      <c r="N217" s="57"/>
      <c r="O217" s="57"/>
      <c r="P217" s="146"/>
      <c r="Q217" s="147"/>
      <c r="R217" s="147"/>
      <c r="S217" s="147"/>
      <c r="T217" s="57"/>
      <c r="U217" s="57"/>
      <c r="V217" s="57"/>
      <c r="W217" s="57"/>
      <c r="X217" s="57"/>
      <c r="Y217" s="57"/>
      <c r="Z217" s="148"/>
    </row>
    <row r="218">
      <c r="A218" s="81" t="s">
        <v>2620</v>
      </c>
      <c r="B218" s="1" t="s">
        <v>2621</v>
      </c>
      <c r="C218" s="33">
        <v>6142.0</v>
      </c>
      <c r="D218" s="34" t="str">
        <f>HYPERLINK("https://osu.ppy.sh/u/3178418","pishifat")</f>
        <v>pishifat</v>
      </c>
      <c r="E218" s="35" t="s">
        <v>28</v>
      </c>
      <c r="F218" s="100"/>
      <c r="G218" s="128"/>
      <c r="H218" s="128"/>
      <c r="I218" s="128"/>
      <c r="J218" s="129"/>
      <c r="K218" s="82"/>
      <c r="L218" s="57"/>
      <c r="M218" s="57"/>
      <c r="N218" s="57"/>
      <c r="O218" s="57"/>
      <c r="P218" s="79"/>
      <c r="Q218" s="80"/>
      <c r="R218" s="80"/>
      <c r="S218" s="80"/>
      <c r="T218" s="57"/>
      <c r="U218" s="57"/>
      <c r="V218" s="57"/>
    </row>
    <row r="219">
      <c r="A219" s="81" t="s">
        <v>2622</v>
      </c>
      <c r="B219" s="41" t="s">
        <v>2623</v>
      </c>
      <c r="C219" s="46">
        <v>6135.99</v>
      </c>
      <c r="D219" s="105" t="str">
        <f>HYPERLINK("https://osu.ppy.sh/u/6261734","Suuchi")</f>
        <v>Suuchi</v>
      </c>
      <c r="F219" s="53"/>
      <c r="G219" s="53"/>
      <c r="H219" s="53"/>
      <c r="I219" s="53"/>
      <c r="J219" s="54"/>
      <c r="K219" s="53"/>
      <c r="L219" s="56"/>
    </row>
    <row r="220">
      <c r="A220" s="81" t="s">
        <v>2624</v>
      </c>
      <c r="B220" s="41" t="s">
        <v>2625</v>
      </c>
      <c r="C220" s="46">
        <v>6133.42</v>
      </c>
      <c r="D220" s="47" t="str">
        <f>HYPERLINK("https://osu.ppy.sh/u/7109380","1deaged")</f>
        <v>1deaged</v>
      </c>
      <c r="E220" s="55" t="s">
        <v>320</v>
      </c>
      <c r="F220" s="58">
        <v>400.0</v>
      </c>
      <c r="G220" s="48" t="s">
        <v>29</v>
      </c>
      <c r="H220" s="48" t="s">
        <v>2626</v>
      </c>
      <c r="I220" s="48" t="s">
        <v>1316</v>
      </c>
      <c r="J220" s="54"/>
      <c r="K220" s="74">
        <v>500.0</v>
      </c>
      <c r="L220" s="53"/>
      <c r="M220" s="1" t="s">
        <v>2627</v>
      </c>
      <c r="N220" s="1" t="s">
        <v>61</v>
      </c>
      <c r="O220" s="1" t="s">
        <v>408</v>
      </c>
      <c r="P220" s="85">
        <v>105.0</v>
      </c>
      <c r="Q220" s="86">
        <v>130.0</v>
      </c>
      <c r="R220" s="87">
        <v>70.0</v>
      </c>
      <c r="S220" s="87">
        <v>43.0</v>
      </c>
      <c r="T220" s="55" t="s">
        <v>42</v>
      </c>
      <c r="U220" s="55" t="s">
        <v>398</v>
      </c>
      <c r="V220" s="1" t="s">
        <v>89</v>
      </c>
      <c r="Z220" s="45">
        <v>42979.0</v>
      </c>
    </row>
    <row r="221">
      <c r="A221" s="81" t="s">
        <v>2628</v>
      </c>
      <c r="B221" s="41" t="s">
        <v>2629</v>
      </c>
      <c r="C221" s="46">
        <v>6110.79</v>
      </c>
      <c r="D221" s="47" t="str">
        <f>HYPERLINK("https://osu.ppy.sh/u/3479790","martynasHT")</f>
        <v>martynasHT</v>
      </c>
      <c r="E221" s="61" t="s">
        <v>28</v>
      </c>
      <c r="F221" s="48" t="s">
        <v>2630</v>
      </c>
      <c r="G221" s="48" t="s">
        <v>29</v>
      </c>
      <c r="H221" s="48" t="s">
        <v>67</v>
      </c>
      <c r="I221" s="48" t="s">
        <v>336</v>
      </c>
      <c r="J221" s="54"/>
      <c r="K221" s="48" t="s">
        <v>33</v>
      </c>
      <c r="L221" s="1" t="s">
        <v>237</v>
      </c>
      <c r="M221" s="1" t="s">
        <v>1438</v>
      </c>
      <c r="N221" s="1" t="s">
        <v>116</v>
      </c>
      <c r="U221" s="1" t="s">
        <v>176</v>
      </c>
      <c r="V221" s="1" t="s">
        <v>2631</v>
      </c>
      <c r="Z221" s="45">
        <v>43282.0</v>
      </c>
    </row>
    <row r="222">
      <c r="A222" s="81" t="s">
        <v>2632</v>
      </c>
      <c r="B222" s="41" t="s">
        <v>2633</v>
      </c>
      <c r="C222" s="46">
        <v>6104.8</v>
      </c>
      <c r="D222" s="47" t="str">
        <f>HYPERLINK("https://osu.ppy.sh/u/7417034","Ille Snarf")</f>
        <v>Ille Snarf</v>
      </c>
      <c r="E222" s="52" t="s">
        <v>28</v>
      </c>
      <c r="F222" s="36" t="s">
        <v>47</v>
      </c>
      <c r="G222" s="37" t="s">
        <v>29</v>
      </c>
      <c r="H222" s="37" t="s">
        <v>67</v>
      </c>
      <c r="I222" s="37" t="s">
        <v>421</v>
      </c>
      <c r="J222" s="38" t="s">
        <v>32</v>
      </c>
      <c r="K222" s="82"/>
      <c r="L222" s="69"/>
      <c r="M222" s="40" t="s">
        <v>1310</v>
      </c>
      <c r="N222" s="69"/>
      <c r="O222" s="69"/>
      <c r="P222" s="79"/>
      <c r="Q222" s="80"/>
      <c r="R222" s="80"/>
      <c r="S222" s="80"/>
      <c r="T222" s="69"/>
      <c r="U222" s="69"/>
      <c r="V222" s="69"/>
    </row>
    <row r="223">
      <c r="A223" s="81" t="s">
        <v>2634</v>
      </c>
      <c r="B223" s="1" t="s">
        <v>2635</v>
      </c>
      <c r="C223" s="33">
        <v>6096.78</v>
      </c>
      <c r="D223" s="34" t="str">
        <f>HYPERLINK("https://osu.ppy.sh/u/8241695","VideoRab")</f>
        <v>VideoRab</v>
      </c>
      <c r="E223" s="52" t="s">
        <v>28</v>
      </c>
      <c r="G223" s="53"/>
      <c r="I223" s="53"/>
      <c r="J223" s="54"/>
    </row>
    <row r="224">
      <c r="A224" s="81" t="s">
        <v>2636</v>
      </c>
      <c r="B224" s="1" t="s">
        <v>2637</v>
      </c>
      <c r="C224" s="33">
        <v>6095.25</v>
      </c>
      <c r="D224" s="34" t="str">
        <f>HYPERLINK("https://osu.ppy.sh/u/5283566","YELLOWSUPERCAR")</f>
        <v>YELLOWSUPERCAR</v>
      </c>
      <c r="E224" s="52" t="s">
        <v>28</v>
      </c>
      <c r="F224" s="100"/>
      <c r="G224" s="101"/>
      <c r="H224" s="101"/>
      <c r="I224" s="101"/>
      <c r="J224" s="49"/>
      <c r="K224" s="82"/>
      <c r="L224" s="69"/>
      <c r="M224" s="69"/>
      <c r="N224" s="69"/>
      <c r="O224" s="69"/>
      <c r="P224" s="79"/>
      <c r="Q224" s="80"/>
      <c r="R224" s="80"/>
      <c r="S224" s="80"/>
      <c r="T224" s="69"/>
      <c r="U224" s="69"/>
      <c r="V224" s="69"/>
    </row>
    <row r="225">
      <c r="A225" s="81" t="s">
        <v>2638</v>
      </c>
      <c r="B225" s="41" t="s">
        <v>2639</v>
      </c>
      <c r="C225" s="46">
        <v>6093.98</v>
      </c>
      <c r="D225" s="47" t="str">
        <f>HYPERLINK("https://osu.ppy.sh/u/235224","lly")</f>
        <v>lly</v>
      </c>
      <c r="E225" s="41" t="s">
        <v>28</v>
      </c>
      <c r="F225" s="109"/>
      <c r="G225" s="53"/>
      <c r="H225" s="53"/>
      <c r="I225" s="53"/>
      <c r="J225" s="54"/>
      <c r="K225" s="60"/>
      <c r="P225" s="91"/>
      <c r="Q225" s="92"/>
      <c r="R225" s="92"/>
      <c r="S225" s="92"/>
      <c r="Z225" s="45"/>
    </row>
    <row r="226">
      <c r="A226" s="81" t="s">
        <v>2640</v>
      </c>
      <c r="B226" s="102" t="s">
        <v>423</v>
      </c>
      <c r="C226" s="103">
        <v>6093.64</v>
      </c>
      <c r="D226" s="104" t="str">
        <f>HYPERLINK("https://osu.ppy.sh/u/5337109","Adqua")</f>
        <v>Adqua</v>
      </c>
      <c r="E226" s="52" t="s">
        <v>28</v>
      </c>
      <c r="F226" s="36" t="s">
        <v>105</v>
      </c>
      <c r="G226" s="37" t="s">
        <v>29</v>
      </c>
      <c r="H226" s="37" t="s">
        <v>67</v>
      </c>
      <c r="I226" s="37" t="s">
        <v>31</v>
      </c>
      <c r="J226" s="38" t="s">
        <v>32</v>
      </c>
      <c r="K226" s="39" t="s">
        <v>33</v>
      </c>
      <c r="L226" s="69"/>
      <c r="M226" s="40" t="s">
        <v>214</v>
      </c>
      <c r="N226" s="40" t="s">
        <v>2641</v>
      </c>
      <c r="O226" s="40" t="s">
        <v>215</v>
      </c>
      <c r="P226" s="42" t="s">
        <v>216</v>
      </c>
      <c r="Q226" s="43" t="s">
        <v>175</v>
      </c>
      <c r="R226" s="43" t="s">
        <v>72</v>
      </c>
      <c r="S226" s="43" t="s">
        <v>217</v>
      </c>
      <c r="T226" s="44" t="s">
        <v>218</v>
      </c>
      <c r="U226" s="40" t="s">
        <v>117</v>
      </c>
      <c r="V226" s="40" t="s">
        <v>89</v>
      </c>
    </row>
    <row r="227">
      <c r="A227" s="81" t="s">
        <v>2642</v>
      </c>
      <c r="B227" s="102" t="s">
        <v>423</v>
      </c>
      <c r="C227" s="103">
        <v>6087.03</v>
      </c>
      <c r="D227" s="138" t="str">
        <f>HYPERLINK("https://osu.ppy.sh/u/8449897","Deathpool")</f>
        <v>Deathpool</v>
      </c>
      <c r="E227" s="52" t="s">
        <v>28</v>
      </c>
      <c r="F227" s="36" t="s">
        <v>58</v>
      </c>
      <c r="G227" s="37" t="s">
        <v>29</v>
      </c>
      <c r="H227" s="37" t="s">
        <v>67</v>
      </c>
      <c r="I227" s="37" t="s">
        <v>31</v>
      </c>
      <c r="J227" s="38" t="s">
        <v>32</v>
      </c>
      <c r="K227" s="39" t="s">
        <v>33</v>
      </c>
      <c r="L227" s="40" t="s">
        <v>257</v>
      </c>
      <c r="M227" s="40" t="s">
        <v>69</v>
      </c>
      <c r="N227" s="40" t="s">
        <v>179</v>
      </c>
      <c r="O227" s="40" t="s">
        <v>70</v>
      </c>
      <c r="P227" s="42" t="s">
        <v>71</v>
      </c>
      <c r="Q227" s="43" t="s">
        <v>39</v>
      </c>
      <c r="R227" s="43" t="s">
        <v>72</v>
      </c>
      <c r="S227" s="43" t="s">
        <v>41</v>
      </c>
      <c r="T227" s="61" t="s">
        <v>42</v>
      </c>
      <c r="U227" s="40" t="s">
        <v>2643</v>
      </c>
      <c r="V227" s="40" t="s">
        <v>74</v>
      </c>
    </row>
    <row r="228">
      <c r="A228" s="81" t="s">
        <v>2644</v>
      </c>
      <c r="B228" s="41" t="s">
        <v>2645</v>
      </c>
      <c r="C228" s="46">
        <v>6080.3</v>
      </c>
      <c r="D228" s="47" t="str">
        <f>HYPERLINK("https://osu.ppy.sh/u/443513","charizard")</f>
        <v>charizard</v>
      </c>
      <c r="E228" s="55" t="s">
        <v>28</v>
      </c>
      <c r="F228" s="58">
        <v>1000.0</v>
      </c>
      <c r="G228" s="48" t="s">
        <v>29</v>
      </c>
      <c r="H228" s="48" t="s">
        <v>806</v>
      </c>
      <c r="I228" s="48" t="s">
        <v>2646</v>
      </c>
      <c r="J228" s="59" t="s">
        <v>32</v>
      </c>
      <c r="K228" s="74">
        <v>1000.0</v>
      </c>
      <c r="L228" s="53"/>
      <c r="M228" s="1" t="s">
        <v>108</v>
      </c>
      <c r="N228" s="1" t="s">
        <v>2647</v>
      </c>
      <c r="O228" s="1" t="s">
        <v>109</v>
      </c>
      <c r="P228" s="85" t="s">
        <v>110</v>
      </c>
      <c r="Q228" s="86" t="s">
        <v>39</v>
      </c>
      <c r="R228" s="87" t="s">
        <v>72</v>
      </c>
      <c r="S228" s="87" t="s">
        <v>41</v>
      </c>
      <c r="T228" s="48" t="s">
        <v>42</v>
      </c>
      <c r="U228" s="55" t="s">
        <v>2648</v>
      </c>
      <c r="V228" s="1" t="s">
        <v>63</v>
      </c>
    </row>
    <row r="229">
      <c r="A229" s="81" t="s">
        <v>2649</v>
      </c>
      <c r="B229" s="41" t="s">
        <v>2650</v>
      </c>
      <c r="C229" s="46">
        <v>6076.21</v>
      </c>
      <c r="D229" s="47" t="str">
        <f>HYPERLINK("https://osu.ppy.sh/u/1351425","Ryle")</f>
        <v>Ryle</v>
      </c>
      <c r="E229" s="35" t="s">
        <v>571</v>
      </c>
      <c r="F229" s="100"/>
      <c r="G229" s="101"/>
      <c r="H229" s="101"/>
      <c r="I229" s="101"/>
      <c r="J229" s="49"/>
      <c r="K229" s="82"/>
      <c r="L229" s="69"/>
      <c r="M229" s="35" t="s">
        <v>655</v>
      </c>
      <c r="N229" s="69"/>
      <c r="O229" s="35" t="s">
        <v>201</v>
      </c>
      <c r="P229" s="79"/>
      <c r="Q229" s="80"/>
      <c r="R229" s="80"/>
      <c r="S229" s="80"/>
      <c r="T229" s="69"/>
      <c r="U229" s="69"/>
      <c r="V229" s="69"/>
    </row>
    <row r="230">
      <c r="A230" s="81" t="s">
        <v>2651</v>
      </c>
      <c r="B230" s="1" t="s">
        <v>2652</v>
      </c>
      <c r="C230" s="33">
        <v>6071.06</v>
      </c>
      <c r="D230" s="34" t="str">
        <f>HYPERLINK("https://osu.ppy.sh/u/4578347","Mickey Tablet")</f>
        <v>Mickey Tablet</v>
      </c>
      <c r="E230" s="52" t="s">
        <v>28</v>
      </c>
      <c r="F230" s="100"/>
      <c r="G230" s="101"/>
      <c r="H230" s="101"/>
      <c r="I230" s="101"/>
      <c r="J230" s="49"/>
      <c r="K230" s="82"/>
      <c r="L230" s="69"/>
      <c r="M230" s="69"/>
      <c r="N230" s="69"/>
      <c r="O230" s="69"/>
      <c r="P230" s="79"/>
      <c r="Q230" s="80"/>
      <c r="R230" s="80"/>
      <c r="S230" s="80"/>
      <c r="T230" s="69"/>
      <c r="U230" s="69"/>
      <c r="V230" s="69"/>
    </row>
    <row r="231">
      <c r="A231" s="81" t="s">
        <v>2653</v>
      </c>
      <c r="B231" s="41" t="s">
        <v>2654</v>
      </c>
      <c r="C231" s="46">
        <v>6066.17</v>
      </c>
      <c r="D231" s="47" t="str">
        <f>HYPERLINK("https://osu.ppy.sh/u/4190190","Shabui")</f>
        <v>Shabui</v>
      </c>
      <c r="E231" s="35" t="s">
        <v>571</v>
      </c>
      <c r="F231" s="58" t="s">
        <v>77</v>
      </c>
      <c r="G231" s="48" t="s">
        <v>29</v>
      </c>
      <c r="H231" s="48" t="s">
        <v>67</v>
      </c>
      <c r="I231" s="48" t="s">
        <v>2334</v>
      </c>
      <c r="J231" s="59" t="s">
        <v>32</v>
      </c>
      <c r="K231" s="74" t="s">
        <v>33</v>
      </c>
      <c r="L231" s="55" t="s">
        <v>536</v>
      </c>
      <c r="M231" s="1" t="s">
        <v>238</v>
      </c>
      <c r="N231" s="1" t="s">
        <v>2655</v>
      </c>
      <c r="O231" s="35" t="s">
        <v>70</v>
      </c>
      <c r="P231" s="72">
        <v>126.0</v>
      </c>
      <c r="Q231" s="73">
        <v>128.0</v>
      </c>
      <c r="R231" s="73">
        <v>76.0</v>
      </c>
      <c r="S231" s="73">
        <v>42.0</v>
      </c>
      <c r="T231" s="52" t="s">
        <v>42</v>
      </c>
      <c r="Z231" s="45">
        <v>43282.0</v>
      </c>
    </row>
    <row r="232">
      <c r="A232" s="81" t="s">
        <v>2656</v>
      </c>
      <c r="B232" s="111" t="s">
        <v>423</v>
      </c>
      <c r="C232" s="112">
        <v>6066.17</v>
      </c>
      <c r="D232" s="113" t="str">
        <f>HYPERLINK("https://osu.ppy.sh/u/4575139","KaraDaxx")</f>
        <v>KaraDaxx</v>
      </c>
      <c r="E232" s="41" t="s">
        <v>28</v>
      </c>
      <c r="F232" s="100"/>
      <c r="G232" s="128"/>
      <c r="H232" s="128"/>
      <c r="I232" s="128"/>
      <c r="J232" s="129"/>
      <c r="K232" s="82"/>
      <c r="L232" s="261"/>
      <c r="M232" s="57"/>
      <c r="N232" s="57"/>
      <c r="O232" s="57"/>
      <c r="P232" s="146"/>
      <c r="Q232" s="147"/>
      <c r="R232" s="147"/>
      <c r="S232" s="147"/>
      <c r="T232" s="57"/>
      <c r="U232" s="57"/>
      <c r="V232" s="57"/>
      <c r="W232" s="57"/>
      <c r="X232" s="57"/>
      <c r="Y232" s="57"/>
      <c r="Z232" s="148"/>
    </row>
    <row r="233">
      <c r="A233" s="81" t="s">
        <v>2657</v>
      </c>
      <c r="B233" s="1" t="s">
        <v>2658</v>
      </c>
      <c r="C233" s="33">
        <v>6044.44</v>
      </c>
      <c r="D233" s="34" t="str">
        <f>HYPERLINK("https://osu.ppy.sh/u/6491985","Furious67")</f>
        <v>Furious67</v>
      </c>
      <c r="E233" s="41" t="s">
        <v>28</v>
      </c>
      <c r="F233" s="53"/>
      <c r="G233" s="53"/>
      <c r="H233" s="53"/>
      <c r="I233" s="53"/>
      <c r="J233" s="54"/>
      <c r="K233" s="53"/>
      <c r="L233" s="56"/>
    </row>
    <row r="234">
      <c r="A234" s="81" t="s">
        <v>2659</v>
      </c>
      <c r="B234" s="102" t="s">
        <v>423</v>
      </c>
      <c r="C234" s="103">
        <v>6031.84</v>
      </c>
      <c r="D234" s="137" t="str">
        <f>HYPERLINK("https://osu.ppy.sh/u/602913","Froke")</f>
        <v>Froke</v>
      </c>
      <c r="E234" s="61" t="s">
        <v>28</v>
      </c>
      <c r="F234" s="100"/>
      <c r="G234" s="101"/>
      <c r="H234" s="101"/>
      <c r="I234" s="101"/>
      <c r="J234" s="49"/>
      <c r="K234" s="82"/>
      <c r="L234" s="261"/>
      <c r="M234" s="69"/>
      <c r="N234" s="69"/>
      <c r="O234" s="69"/>
      <c r="P234" s="79"/>
      <c r="Q234" s="80"/>
      <c r="R234" s="80"/>
      <c r="S234" s="80"/>
      <c r="T234" s="69"/>
      <c r="U234" s="69"/>
      <c r="V234" s="69"/>
    </row>
    <row r="235">
      <c r="A235" s="81" t="s">
        <v>2660</v>
      </c>
      <c r="B235" s="1" t="s">
        <v>2661</v>
      </c>
      <c r="C235" s="33">
        <v>6005.91</v>
      </c>
      <c r="D235" s="34" t="str">
        <f>HYPERLINK("https://osu.ppy.sh/u/5266243","benferrai")</f>
        <v>benferrai</v>
      </c>
      <c r="E235" s="52" t="s">
        <v>28</v>
      </c>
      <c r="F235" s="53"/>
      <c r="G235" s="53"/>
      <c r="H235" s="53"/>
      <c r="I235" s="53"/>
      <c r="J235" s="54"/>
      <c r="K235" s="53"/>
      <c r="L235" s="56"/>
    </row>
    <row r="236">
      <c r="A236" s="81" t="s">
        <v>2662</v>
      </c>
      <c r="B236" s="102" t="s">
        <v>423</v>
      </c>
      <c r="C236" s="103">
        <v>5993.17</v>
      </c>
      <c r="D236" s="137" t="str">
        <f>HYPERLINK("https://osu.ppy.sh/u/1143744","leepdesu")</f>
        <v>leepdesu</v>
      </c>
      <c r="E236" s="52" t="s">
        <v>28</v>
      </c>
      <c r="F236" s="100"/>
      <c r="G236" s="101"/>
      <c r="H236" s="101"/>
      <c r="I236" s="101"/>
      <c r="J236" s="49"/>
      <c r="K236" s="82"/>
      <c r="L236" s="262"/>
      <c r="M236" s="69"/>
      <c r="N236" s="69"/>
      <c r="O236" s="69"/>
      <c r="P236" s="79"/>
      <c r="Q236" s="80"/>
      <c r="R236" s="80"/>
      <c r="S236" s="80"/>
      <c r="T236" s="69"/>
      <c r="U236" s="69"/>
      <c r="V236" s="69"/>
    </row>
    <row r="237">
      <c r="A237" s="81" t="s">
        <v>2663</v>
      </c>
      <c r="B237" s="102" t="s">
        <v>423</v>
      </c>
      <c r="C237" s="103">
        <v>5951.42</v>
      </c>
      <c r="D237" s="144" t="str">
        <f>HYPERLINK("https://osu.ppy.sh/u/2379893","Qcks")</f>
        <v>Qcks</v>
      </c>
      <c r="E237" s="61" t="s">
        <v>28</v>
      </c>
      <c r="F237" s="100"/>
      <c r="G237" s="101"/>
      <c r="H237" s="101"/>
      <c r="I237" s="128"/>
      <c r="J237" s="129"/>
      <c r="K237" s="82"/>
      <c r="L237" s="261"/>
      <c r="M237" s="69"/>
      <c r="N237" s="69"/>
      <c r="O237" s="69"/>
      <c r="P237" s="79"/>
      <c r="Q237" s="80"/>
      <c r="R237" s="80"/>
      <c r="S237" s="80"/>
      <c r="T237" s="69"/>
      <c r="U237" s="69"/>
      <c r="V237" s="69"/>
    </row>
    <row r="238">
      <c r="A238" s="81" t="s">
        <v>2664</v>
      </c>
      <c r="B238" s="111" t="s">
        <v>423</v>
      </c>
      <c r="C238" s="112">
        <v>5945.98</v>
      </c>
      <c r="D238" s="153" t="str">
        <f>HYPERLINK("https://osu.ppy.sh/u/1454687","x-treme")</f>
        <v>x-treme</v>
      </c>
      <c r="E238" s="61" t="s">
        <v>28</v>
      </c>
      <c r="F238" s="53"/>
      <c r="G238" s="53"/>
      <c r="H238" s="53"/>
      <c r="I238" s="53"/>
      <c r="J238" s="54"/>
      <c r="K238" s="53"/>
      <c r="L238" s="56"/>
    </row>
    <row r="239">
      <c r="A239" s="81" t="s">
        <v>2665</v>
      </c>
      <c r="B239" s="1" t="s">
        <v>2666</v>
      </c>
      <c r="C239" s="33">
        <v>5885.06</v>
      </c>
      <c r="D239" s="34" t="str">
        <f>HYPERLINK("https://osu.ppy.sh/u/5725033","Reifa")</f>
        <v>Reifa</v>
      </c>
      <c r="E239" s="55" t="s">
        <v>28</v>
      </c>
      <c r="F239" s="109"/>
      <c r="G239" s="53"/>
      <c r="H239" s="53"/>
      <c r="I239" s="53"/>
      <c r="J239" s="54"/>
      <c r="K239" s="60"/>
      <c r="L239" s="56"/>
      <c r="P239" s="91"/>
      <c r="Q239" s="92"/>
      <c r="R239" s="93"/>
      <c r="S239" s="93"/>
      <c r="T239" s="53"/>
      <c r="U239" s="56"/>
    </row>
    <row r="240">
      <c r="A240" s="81" t="s">
        <v>2667</v>
      </c>
      <c r="B240" s="111" t="s">
        <v>423</v>
      </c>
      <c r="C240" s="112">
        <v>5869.97</v>
      </c>
      <c r="D240" s="113" t="str">
        <f>HYPERLINK("https://osu.ppy.sh/u/4508237","[ Yeah ]")</f>
        <v>[ Yeah ]</v>
      </c>
      <c r="E240" s="52" t="s">
        <v>28</v>
      </c>
      <c r="F240" s="100"/>
      <c r="G240" s="101"/>
      <c r="H240" s="101"/>
      <c r="I240" s="101"/>
      <c r="J240" s="49"/>
      <c r="K240" s="82"/>
      <c r="L240" s="262"/>
      <c r="M240" s="69"/>
      <c r="N240" s="69"/>
      <c r="O240" s="69"/>
      <c r="P240" s="79"/>
      <c r="Q240" s="80"/>
      <c r="R240" s="80"/>
      <c r="S240" s="80"/>
      <c r="T240" s="69"/>
      <c r="U240" s="69"/>
      <c r="V240" s="69"/>
    </row>
    <row r="241">
      <c r="A241" s="81" t="s">
        <v>2668</v>
      </c>
      <c r="B241" s="111" t="s">
        <v>423</v>
      </c>
      <c r="C241" s="112">
        <v>5863.03</v>
      </c>
      <c r="D241" s="113" t="str">
        <f>HYPERLINK("https://osu.ppy.sh/u/7831340","YouRisins_")</f>
        <v>YouRisins_</v>
      </c>
      <c r="E241" s="52" t="s">
        <v>28</v>
      </c>
      <c r="F241" s="100"/>
      <c r="G241" s="101"/>
      <c r="H241" s="101"/>
      <c r="I241" s="101"/>
      <c r="J241" s="49"/>
      <c r="K241" s="82"/>
      <c r="L241" s="262"/>
      <c r="M241" s="69"/>
      <c r="N241" s="69"/>
      <c r="O241" s="69"/>
      <c r="P241" s="79"/>
      <c r="Q241" s="80"/>
      <c r="R241" s="80"/>
      <c r="S241" s="80"/>
      <c r="T241" s="69"/>
      <c r="U241" s="69"/>
      <c r="V241" s="69"/>
    </row>
    <row r="242">
      <c r="A242" s="81" t="s">
        <v>2669</v>
      </c>
      <c r="B242" s="111" t="s">
        <v>423</v>
      </c>
      <c r="C242" s="112">
        <v>5857.71</v>
      </c>
      <c r="D242" s="113" t="str">
        <f>HYPERLINK("https://osu.ppy.sh/u/5259633","AsianSuperman")</f>
        <v>AsianSuperman</v>
      </c>
      <c r="E242" s="61" t="s">
        <v>28</v>
      </c>
      <c r="F242" s="53"/>
      <c r="G242" s="53"/>
      <c r="H242" s="53"/>
      <c r="I242" s="53"/>
      <c r="J242" s="54"/>
      <c r="K242" s="53"/>
      <c r="L242" s="56"/>
    </row>
    <row r="243">
      <c r="A243" s="81" t="s">
        <v>2670</v>
      </c>
      <c r="B243" s="111" t="s">
        <v>423</v>
      </c>
      <c r="C243" s="112">
        <v>5828.89</v>
      </c>
      <c r="D243" s="113" t="str">
        <f>HYPERLINK("https://osu.ppy.sh/u/6314315","Olari")</f>
        <v>Olari</v>
      </c>
      <c r="E243" s="41" t="s">
        <v>28</v>
      </c>
      <c r="F243" s="109"/>
      <c r="G243" s="53"/>
      <c r="H243" s="53"/>
      <c r="I243" s="53"/>
      <c r="J243" s="54"/>
      <c r="K243" s="60"/>
      <c r="L243" s="56"/>
      <c r="P243" s="91"/>
      <c r="Q243" s="92"/>
      <c r="R243" s="92"/>
      <c r="S243" s="92"/>
      <c r="Z243" s="45"/>
    </row>
    <row r="244">
      <c r="A244" s="81" t="s">
        <v>2671</v>
      </c>
      <c r="B244" s="1" t="s">
        <v>2672</v>
      </c>
      <c r="C244" s="33">
        <v>4657.79</v>
      </c>
      <c r="D244" s="34" t="str">
        <f t="shared" ref="D244:D245" si="1">HYPERLINK("https://osu.ppy.sh/u/5051910","Jakuten")</f>
        <v>Jakuten</v>
      </c>
      <c r="E244" s="61" t="s">
        <v>28</v>
      </c>
      <c r="F244" s="58" t="s">
        <v>47</v>
      </c>
      <c r="G244" s="48" t="s">
        <v>29</v>
      </c>
      <c r="H244" s="48" t="s">
        <v>67</v>
      </c>
      <c r="I244" s="48" t="s">
        <v>31</v>
      </c>
      <c r="J244" s="59" t="s">
        <v>32</v>
      </c>
      <c r="K244" s="60"/>
      <c r="L244" s="1" t="s">
        <v>540</v>
      </c>
      <c r="M244" s="1" t="s">
        <v>139</v>
      </c>
      <c r="N244" s="1" t="s">
        <v>2673</v>
      </c>
      <c r="O244" s="57" t="s">
        <v>141</v>
      </c>
      <c r="P244" s="79" t="s">
        <v>187</v>
      </c>
      <c r="Q244" s="80" t="s">
        <v>39</v>
      </c>
      <c r="R244" s="80" t="s">
        <v>72</v>
      </c>
      <c r="S244" s="80" t="s">
        <v>41</v>
      </c>
      <c r="T244" s="57" t="s">
        <v>42</v>
      </c>
      <c r="U244" s="1" t="s">
        <v>600</v>
      </c>
      <c r="V244" s="1" t="s">
        <v>2674</v>
      </c>
      <c r="Z244" s="45">
        <v>43709.0</v>
      </c>
    </row>
    <row r="245">
      <c r="A245" s="81" t="s">
        <v>508</v>
      </c>
      <c r="B245" s="1" t="s">
        <v>2672</v>
      </c>
      <c r="C245" s="1">
        <v>4657.79</v>
      </c>
      <c r="D245" s="263" t="str">
        <f t="shared" si="1"/>
        <v>Jakuten</v>
      </c>
    </row>
    <row r="246">
      <c r="A246" s="231"/>
      <c r="C246" s="232"/>
      <c r="D246" s="231"/>
      <c r="E246" s="56"/>
      <c r="F246" s="109"/>
      <c r="G246" s="53"/>
      <c r="H246" s="53"/>
      <c r="I246" s="53"/>
      <c r="J246" s="54"/>
      <c r="K246" s="60"/>
      <c r="L246" s="53"/>
      <c r="P246" s="91"/>
      <c r="Q246" s="92"/>
      <c r="R246" s="93"/>
      <c r="S246" s="93"/>
      <c r="T246" s="53"/>
      <c r="U246" s="53"/>
    </row>
    <row r="247">
      <c r="A247" s="231"/>
      <c r="C247" s="232"/>
      <c r="D247" s="231"/>
      <c r="E247" s="56"/>
      <c r="F247" s="109"/>
      <c r="G247" s="53"/>
      <c r="H247" s="53"/>
      <c r="I247" s="53"/>
      <c r="J247" s="54"/>
      <c r="K247" s="60"/>
      <c r="L247" s="53"/>
      <c r="P247" s="91"/>
      <c r="Q247" s="92"/>
      <c r="R247" s="93"/>
      <c r="S247" s="93"/>
      <c r="T247" s="53"/>
      <c r="U247" s="53"/>
    </row>
    <row r="248">
      <c r="A248" s="231"/>
      <c r="C248" s="232"/>
      <c r="D248" s="231"/>
      <c r="E248" s="56"/>
      <c r="F248" s="109"/>
      <c r="G248" s="53"/>
      <c r="H248" s="53"/>
      <c r="I248" s="53"/>
      <c r="J248" s="54"/>
      <c r="K248" s="60"/>
      <c r="L248" s="53"/>
      <c r="P248" s="91"/>
      <c r="Q248" s="92"/>
      <c r="R248" s="93"/>
      <c r="S248" s="93"/>
      <c r="T248" s="53"/>
      <c r="U248" s="53"/>
    </row>
    <row r="249">
      <c r="A249" s="231"/>
      <c r="C249" s="232"/>
      <c r="D249" s="231"/>
      <c r="E249" s="56"/>
      <c r="F249" s="109"/>
      <c r="G249" s="53"/>
      <c r="H249" s="53"/>
      <c r="I249" s="53"/>
      <c r="J249" s="54"/>
      <c r="K249" s="60"/>
      <c r="L249" s="53"/>
      <c r="P249" s="91"/>
      <c r="Q249" s="92"/>
      <c r="R249" s="93"/>
      <c r="S249" s="93"/>
      <c r="T249" s="53"/>
      <c r="U249" s="53"/>
    </row>
    <row r="250">
      <c r="A250" s="231"/>
      <c r="C250" s="232"/>
      <c r="D250" s="231"/>
      <c r="E250" s="56"/>
      <c r="F250" s="109"/>
      <c r="G250" s="53"/>
      <c r="H250" s="53"/>
      <c r="I250" s="53"/>
      <c r="J250" s="54"/>
      <c r="K250" s="60"/>
      <c r="L250" s="53"/>
      <c r="P250" s="91"/>
      <c r="Q250" s="92"/>
      <c r="R250" s="93"/>
      <c r="S250" s="93"/>
      <c r="T250" s="53"/>
      <c r="U250" s="53"/>
    </row>
    <row r="251">
      <c r="A251" s="231"/>
      <c r="C251" s="232"/>
      <c r="D251" s="231"/>
      <c r="E251" s="56"/>
      <c r="F251" s="109"/>
      <c r="G251" s="53"/>
      <c r="H251" s="53"/>
      <c r="I251" s="53"/>
      <c r="J251" s="54"/>
      <c r="K251" s="60"/>
      <c r="L251" s="53"/>
      <c r="P251" s="91"/>
      <c r="Q251" s="92"/>
      <c r="R251" s="93"/>
      <c r="S251" s="93"/>
      <c r="T251" s="53"/>
      <c r="U251" s="53"/>
    </row>
    <row r="252">
      <c r="A252" s="231"/>
      <c r="C252" s="232"/>
      <c r="D252" s="231"/>
      <c r="E252" s="56"/>
      <c r="F252" s="109"/>
      <c r="G252" s="53"/>
      <c r="H252" s="53"/>
      <c r="I252" s="53"/>
      <c r="J252" s="54"/>
      <c r="K252" s="60"/>
      <c r="L252" s="53"/>
      <c r="P252" s="91"/>
      <c r="Q252" s="92"/>
      <c r="R252" s="93"/>
      <c r="S252" s="93"/>
      <c r="T252" s="53"/>
      <c r="U252" s="53"/>
    </row>
    <row r="253">
      <c r="A253" s="231"/>
      <c r="C253" s="232"/>
      <c r="D253" s="231"/>
      <c r="E253" s="56"/>
      <c r="F253" s="109"/>
      <c r="G253" s="53"/>
      <c r="H253" s="53"/>
      <c r="I253" s="53"/>
      <c r="J253" s="54"/>
      <c r="K253" s="60"/>
      <c r="L253" s="53"/>
      <c r="P253" s="91"/>
      <c r="Q253" s="92"/>
      <c r="R253" s="93"/>
      <c r="S253" s="93"/>
      <c r="T253" s="53"/>
      <c r="U253" s="53"/>
    </row>
    <row r="254">
      <c r="A254" s="231"/>
      <c r="C254" s="232"/>
      <c r="D254" s="231"/>
      <c r="E254" s="56"/>
      <c r="F254" s="109"/>
      <c r="G254" s="53"/>
      <c r="H254" s="53"/>
      <c r="I254" s="53"/>
      <c r="J254" s="54"/>
      <c r="K254" s="60"/>
      <c r="L254" s="53"/>
      <c r="P254" s="91"/>
      <c r="Q254" s="92"/>
      <c r="R254" s="93"/>
      <c r="S254" s="93"/>
      <c r="T254" s="53"/>
      <c r="U254" s="53"/>
    </row>
    <row r="255">
      <c r="A255" s="231"/>
      <c r="C255" s="232"/>
      <c r="D255" s="231"/>
      <c r="E255" s="56"/>
      <c r="F255" s="109"/>
      <c r="G255" s="53"/>
      <c r="H255" s="53"/>
      <c r="I255" s="53"/>
      <c r="J255" s="54"/>
      <c r="K255" s="60"/>
      <c r="L255" s="53"/>
      <c r="P255" s="91"/>
      <c r="Q255" s="92"/>
      <c r="R255" s="93"/>
      <c r="S255" s="93"/>
      <c r="T255" s="53"/>
      <c r="U255" s="53"/>
    </row>
    <row r="256">
      <c r="A256" s="231"/>
      <c r="C256" s="232"/>
      <c r="D256" s="231"/>
      <c r="E256" s="56"/>
      <c r="F256" s="109"/>
      <c r="G256" s="53"/>
      <c r="H256" s="53"/>
      <c r="I256" s="53"/>
      <c r="J256" s="54"/>
      <c r="K256" s="60"/>
      <c r="L256" s="53"/>
      <c r="P256" s="91"/>
      <c r="Q256" s="92"/>
      <c r="R256" s="93"/>
      <c r="S256" s="93"/>
      <c r="T256" s="53"/>
      <c r="U256" s="53"/>
    </row>
    <row r="257">
      <c r="A257" s="231"/>
      <c r="C257" s="232"/>
      <c r="D257" s="231"/>
      <c r="E257" s="56"/>
      <c r="F257" s="109"/>
      <c r="G257" s="53"/>
      <c r="H257" s="53"/>
      <c r="I257" s="53"/>
      <c r="J257" s="54"/>
      <c r="K257" s="60"/>
      <c r="L257" s="53"/>
      <c r="P257" s="91"/>
      <c r="Q257" s="92"/>
      <c r="R257" s="93"/>
      <c r="S257" s="93"/>
      <c r="T257" s="53"/>
      <c r="U257" s="53"/>
    </row>
    <row r="258">
      <c r="A258" s="231"/>
      <c r="C258" s="232"/>
      <c r="D258" s="231"/>
      <c r="E258" s="56"/>
      <c r="F258" s="109"/>
      <c r="G258" s="53"/>
      <c r="H258" s="53"/>
      <c r="I258" s="53"/>
      <c r="J258" s="54"/>
      <c r="K258" s="60"/>
      <c r="L258" s="53"/>
      <c r="P258" s="91"/>
      <c r="Q258" s="92"/>
      <c r="R258" s="93"/>
      <c r="S258" s="93"/>
      <c r="T258" s="53"/>
      <c r="U258" s="53"/>
    </row>
    <row r="259">
      <c r="A259" s="231"/>
      <c r="C259" s="232"/>
      <c r="D259" s="231"/>
      <c r="E259" s="56"/>
      <c r="F259" s="109"/>
      <c r="G259" s="53"/>
      <c r="H259" s="53"/>
      <c r="I259" s="53"/>
      <c r="J259" s="54"/>
      <c r="K259" s="60"/>
      <c r="L259" s="53"/>
      <c r="P259" s="91"/>
      <c r="Q259" s="92"/>
      <c r="R259" s="93"/>
      <c r="S259" s="93"/>
      <c r="T259" s="53"/>
      <c r="U259" s="53"/>
    </row>
    <row r="260">
      <c r="A260" s="231"/>
      <c r="C260" s="232"/>
      <c r="D260" s="231"/>
      <c r="E260" s="56"/>
      <c r="F260" s="109"/>
      <c r="G260" s="53"/>
      <c r="H260" s="53"/>
      <c r="I260" s="53"/>
      <c r="J260" s="54"/>
      <c r="K260" s="60"/>
      <c r="L260" s="53"/>
      <c r="P260" s="91"/>
      <c r="Q260" s="92"/>
      <c r="R260" s="93"/>
      <c r="S260" s="93"/>
      <c r="T260" s="53"/>
      <c r="U260" s="53"/>
    </row>
    <row r="261">
      <c r="A261" s="231"/>
      <c r="C261" s="232"/>
      <c r="D261" s="231"/>
      <c r="E261" s="56"/>
      <c r="F261" s="109"/>
      <c r="G261" s="53"/>
      <c r="H261" s="53"/>
      <c r="I261" s="53"/>
      <c r="J261" s="54"/>
      <c r="K261" s="60"/>
      <c r="L261" s="53"/>
      <c r="P261" s="91"/>
      <c r="Q261" s="92"/>
      <c r="R261" s="93"/>
      <c r="S261" s="93"/>
      <c r="T261" s="53"/>
      <c r="U261" s="53"/>
    </row>
    <row r="262">
      <c r="A262" s="231"/>
      <c r="C262" s="232"/>
      <c r="D262" s="231"/>
      <c r="E262" s="56"/>
      <c r="F262" s="109"/>
      <c r="G262" s="53"/>
      <c r="H262" s="53"/>
      <c r="I262" s="53"/>
      <c r="J262" s="54"/>
      <c r="K262" s="60"/>
      <c r="L262" s="53"/>
      <c r="P262" s="91"/>
      <c r="Q262" s="92"/>
      <c r="R262" s="93"/>
      <c r="S262" s="93"/>
      <c r="T262" s="53"/>
      <c r="U262" s="53"/>
    </row>
    <row r="263">
      <c r="A263" s="231"/>
      <c r="C263" s="232"/>
      <c r="D263" s="231"/>
      <c r="E263" s="56"/>
      <c r="F263" s="109"/>
      <c r="G263" s="53"/>
      <c r="H263" s="53"/>
      <c r="I263" s="53"/>
      <c r="J263" s="54"/>
      <c r="K263" s="60"/>
      <c r="L263" s="53"/>
      <c r="P263" s="91"/>
      <c r="Q263" s="92"/>
      <c r="R263" s="93"/>
      <c r="S263" s="93"/>
      <c r="T263" s="53"/>
      <c r="U263" s="53"/>
    </row>
    <row r="264">
      <c r="A264" s="231"/>
      <c r="C264" s="232"/>
      <c r="D264" s="231"/>
      <c r="E264" s="56"/>
      <c r="F264" s="109"/>
      <c r="G264" s="53"/>
      <c r="H264" s="53"/>
      <c r="I264" s="53"/>
      <c r="J264" s="54"/>
      <c r="K264" s="60"/>
      <c r="L264" s="53"/>
      <c r="P264" s="91"/>
      <c r="Q264" s="92"/>
      <c r="R264" s="93"/>
      <c r="S264" s="93"/>
      <c r="T264" s="53"/>
      <c r="U264" s="53"/>
    </row>
    <row r="265">
      <c r="A265" s="231"/>
      <c r="C265" s="232"/>
      <c r="D265" s="231"/>
      <c r="E265" s="56"/>
      <c r="F265" s="109"/>
      <c r="G265" s="53"/>
      <c r="H265" s="53"/>
      <c r="I265" s="53"/>
      <c r="J265" s="54"/>
      <c r="K265" s="60"/>
      <c r="L265" s="53"/>
      <c r="P265" s="91"/>
      <c r="Q265" s="92"/>
      <c r="R265" s="93"/>
      <c r="S265" s="93"/>
      <c r="T265" s="53"/>
      <c r="U265" s="53"/>
    </row>
    <row r="266">
      <c r="A266" s="231"/>
      <c r="C266" s="232"/>
      <c r="D266" s="231"/>
      <c r="E266" s="56"/>
      <c r="F266" s="109"/>
      <c r="G266" s="53"/>
      <c r="H266" s="53"/>
      <c r="I266" s="53"/>
      <c r="J266" s="54"/>
      <c r="K266" s="60"/>
      <c r="L266" s="53"/>
      <c r="P266" s="91"/>
      <c r="Q266" s="92"/>
      <c r="R266" s="93"/>
      <c r="S266" s="93"/>
      <c r="T266" s="53"/>
      <c r="U266" s="53"/>
    </row>
    <row r="267">
      <c r="A267" s="231"/>
      <c r="C267" s="232"/>
      <c r="D267" s="231"/>
      <c r="E267" s="56"/>
      <c r="F267" s="109"/>
      <c r="G267" s="53"/>
      <c r="H267" s="53"/>
      <c r="I267" s="53"/>
      <c r="J267" s="54"/>
      <c r="K267" s="60"/>
      <c r="L267" s="53"/>
      <c r="P267" s="91"/>
      <c r="Q267" s="92"/>
      <c r="R267" s="93"/>
      <c r="S267" s="93"/>
      <c r="T267" s="53"/>
      <c r="U267" s="53"/>
    </row>
    <row r="268">
      <c r="A268" s="231"/>
      <c r="C268" s="232"/>
      <c r="D268" s="231"/>
      <c r="E268" s="56"/>
      <c r="F268" s="109"/>
      <c r="G268" s="53"/>
      <c r="H268" s="53"/>
      <c r="I268" s="53"/>
      <c r="J268" s="54"/>
      <c r="K268" s="60"/>
      <c r="L268" s="53"/>
      <c r="P268" s="91"/>
      <c r="Q268" s="92"/>
      <c r="R268" s="93"/>
      <c r="S268" s="93"/>
      <c r="T268" s="53"/>
      <c r="U268" s="53"/>
    </row>
    <row r="269">
      <c r="A269" s="231"/>
      <c r="C269" s="232"/>
      <c r="D269" s="231"/>
      <c r="E269" s="56"/>
      <c r="F269" s="109"/>
      <c r="G269" s="53"/>
      <c r="H269" s="53"/>
      <c r="I269" s="53"/>
      <c r="J269" s="54"/>
      <c r="K269" s="60"/>
      <c r="L269" s="53"/>
      <c r="P269" s="91"/>
      <c r="Q269" s="92"/>
      <c r="R269" s="93"/>
      <c r="S269" s="93"/>
      <c r="T269" s="53"/>
      <c r="U269" s="53"/>
    </row>
    <row r="270">
      <c r="A270" s="231"/>
      <c r="C270" s="232"/>
      <c r="D270" s="231"/>
      <c r="E270" s="56"/>
      <c r="F270" s="109"/>
      <c r="G270" s="53"/>
      <c r="H270" s="53"/>
      <c r="I270" s="53"/>
      <c r="J270" s="54"/>
      <c r="K270" s="60"/>
      <c r="L270" s="53"/>
      <c r="P270" s="91"/>
      <c r="Q270" s="92"/>
      <c r="R270" s="93"/>
      <c r="S270" s="93"/>
      <c r="T270" s="53"/>
      <c r="U270" s="53"/>
    </row>
    <row r="271">
      <c r="A271" s="231"/>
      <c r="C271" s="232"/>
      <c r="D271" s="231"/>
      <c r="E271" s="56"/>
      <c r="F271" s="109"/>
      <c r="G271" s="53"/>
      <c r="H271" s="53"/>
      <c r="I271" s="53"/>
      <c r="J271" s="54"/>
      <c r="K271" s="60"/>
      <c r="L271" s="53"/>
      <c r="P271" s="91"/>
      <c r="Q271" s="92"/>
      <c r="R271" s="93"/>
      <c r="S271" s="93"/>
      <c r="T271" s="53"/>
      <c r="U271" s="53"/>
    </row>
    <row r="272">
      <c r="A272" s="231"/>
      <c r="C272" s="232"/>
      <c r="D272" s="231"/>
      <c r="E272" s="56"/>
      <c r="F272" s="109"/>
      <c r="G272" s="53"/>
      <c r="H272" s="53"/>
      <c r="I272" s="53"/>
      <c r="J272" s="54"/>
      <c r="K272" s="60"/>
      <c r="L272" s="53"/>
      <c r="P272" s="91"/>
      <c r="Q272" s="92"/>
      <c r="R272" s="93"/>
      <c r="S272" s="93"/>
      <c r="T272" s="53"/>
      <c r="U272" s="53"/>
    </row>
    <row r="273">
      <c r="A273" s="231"/>
      <c r="C273" s="232"/>
      <c r="D273" s="231"/>
      <c r="E273" s="56"/>
      <c r="F273" s="109"/>
      <c r="G273" s="53"/>
      <c r="H273" s="53"/>
      <c r="I273" s="53"/>
      <c r="J273" s="54"/>
      <c r="K273" s="60"/>
      <c r="L273" s="53"/>
      <c r="P273" s="91"/>
      <c r="Q273" s="92"/>
      <c r="R273" s="93"/>
      <c r="S273" s="93"/>
      <c r="T273" s="53"/>
      <c r="U273" s="53"/>
    </row>
    <row r="274">
      <c r="A274" s="231"/>
      <c r="C274" s="232"/>
      <c r="D274" s="231"/>
      <c r="E274" s="56"/>
      <c r="F274" s="109"/>
      <c r="G274" s="53"/>
      <c r="H274" s="53"/>
      <c r="I274" s="53"/>
      <c r="J274" s="54"/>
      <c r="K274" s="60"/>
      <c r="L274" s="53"/>
      <c r="P274" s="91"/>
      <c r="Q274" s="92"/>
      <c r="R274" s="93"/>
      <c r="S274" s="93"/>
      <c r="T274" s="53"/>
      <c r="U274" s="53"/>
    </row>
    <row r="275">
      <c r="A275" s="231"/>
      <c r="C275" s="232"/>
      <c r="D275" s="231"/>
      <c r="E275" s="56"/>
      <c r="F275" s="109"/>
      <c r="G275" s="53"/>
      <c r="H275" s="53"/>
      <c r="I275" s="53"/>
      <c r="J275" s="54"/>
      <c r="K275" s="60"/>
      <c r="L275" s="53"/>
      <c r="P275" s="91"/>
      <c r="Q275" s="92"/>
      <c r="R275" s="93"/>
      <c r="S275" s="93"/>
      <c r="T275" s="53"/>
      <c r="U275" s="53"/>
    </row>
    <row r="276">
      <c r="A276" s="231"/>
      <c r="C276" s="232"/>
      <c r="D276" s="231"/>
      <c r="E276" s="56"/>
      <c r="F276" s="109"/>
      <c r="G276" s="53"/>
      <c r="H276" s="53"/>
      <c r="I276" s="53"/>
      <c r="J276" s="54"/>
      <c r="K276" s="60"/>
      <c r="L276" s="53"/>
      <c r="P276" s="91"/>
      <c r="Q276" s="92"/>
      <c r="R276" s="93"/>
      <c r="S276" s="93"/>
      <c r="T276" s="53"/>
      <c r="U276" s="53"/>
    </row>
    <row r="277">
      <c r="A277" s="231"/>
      <c r="C277" s="232"/>
      <c r="D277" s="231"/>
      <c r="E277" s="56"/>
      <c r="F277" s="109"/>
      <c r="G277" s="53"/>
      <c r="H277" s="53"/>
      <c r="I277" s="53"/>
      <c r="J277" s="54"/>
      <c r="K277" s="60"/>
      <c r="L277" s="53"/>
      <c r="P277" s="91"/>
      <c r="Q277" s="92"/>
      <c r="R277" s="93"/>
      <c r="S277" s="93"/>
      <c r="T277" s="53"/>
      <c r="U277" s="53"/>
    </row>
    <row r="278">
      <c r="A278" s="231"/>
      <c r="C278" s="232"/>
      <c r="D278" s="231"/>
      <c r="E278" s="56"/>
      <c r="F278" s="109"/>
      <c r="G278" s="53"/>
      <c r="H278" s="53"/>
      <c r="I278" s="53"/>
      <c r="J278" s="54"/>
      <c r="K278" s="60"/>
      <c r="L278" s="53"/>
      <c r="P278" s="91"/>
      <c r="Q278" s="92"/>
      <c r="R278" s="93"/>
      <c r="S278" s="93"/>
      <c r="T278" s="53"/>
      <c r="U278" s="53"/>
    </row>
    <row r="279">
      <c r="A279" s="231"/>
      <c r="C279" s="232"/>
      <c r="D279" s="231"/>
      <c r="E279" s="56"/>
      <c r="F279" s="109"/>
      <c r="G279" s="53"/>
      <c r="H279" s="53"/>
      <c r="I279" s="53"/>
      <c r="J279" s="54"/>
      <c r="K279" s="60"/>
      <c r="L279" s="53"/>
      <c r="P279" s="91"/>
      <c r="Q279" s="92"/>
      <c r="R279" s="93"/>
      <c r="S279" s="93"/>
      <c r="T279" s="53"/>
      <c r="U279" s="53"/>
    </row>
    <row r="280">
      <c r="A280" s="231"/>
      <c r="C280" s="232"/>
      <c r="D280" s="231"/>
      <c r="E280" s="56"/>
      <c r="F280" s="109"/>
      <c r="G280" s="53"/>
      <c r="H280" s="53"/>
      <c r="I280" s="53"/>
      <c r="J280" s="54"/>
      <c r="K280" s="60"/>
      <c r="L280" s="53"/>
      <c r="P280" s="91"/>
      <c r="Q280" s="92"/>
      <c r="R280" s="93"/>
      <c r="S280" s="93"/>
      <c r="T280" s="53"/>
      <c r="U280" s="53"/>
    </row>
    <row r="281">
      <c r="A281" s="231"/>
      <c r="C281" s="232"/>
      <c r="D281" s="231"/>
      <c r="E281" s="56"/>
      <c r="F281" s="109"/>
      <c r="G281" s="53"/>
      <c r="H281" s="53"/>
      <c r="I281" s="53"/>
      <c r="J281" s="54"/>
      <c r="K281" s="60"/>
      <c r="L281" s="53"/>
      <c r="P281" s="91"/>
      <c r="Q281" s="92"/>
      <c r="R281" s="93"/>
      <c r="S281" s="93"/>
      <c r="T281" s="53"/>
      <c r="U281" s="53"/>
    </row>
    <row r="282">
      <c r="A282" s="231"/>
      <c r="C282" s="232"/>
      <c r="D282" s="231"/>
      <c r="E282" s="56"/>
      <c r="F282" s="109"/>
      <c r="G282" s="53"/>
      <c r="H282" s="53"/>
      <c r="I282" s="53"/>
      <c r="J282" s="54"/>
      <c r="K282" s="60"/>
      <c r="L282" s="53"/>
      <c r="P282" s="91"/>
      <c r="Q282" s="92"/>
      <c r="R282" s="93"/>
      <c r="S282" s="93"/>
      <c r="T282" s="53"/>
      <c r="U282" s="53"/>
    </row>
    <row r="283">
      <c r="A283" s="231"/>
      <c r="C283" s="232"/>
      <c r="D283" s="231"/>
      <c r="E283" s="56"/>
      <c r="F283" s="109"/>
      <c r="G283" s="53"/>
      <c r="H283" s="53"/>
      <c r="I283" s="53"/>
      <c r="J283" s="54"/>
      <c r="K283" s="60"/>
      <c r="L283" s="53"/>
      <c r="P283" s="91"/>
      <c r="Q283" s="92"/>
      <c r="R283" s="93"/>
      <c r="S283" s="93"/>
      <c r="T283" s="53"/>
      <c r="U283" s="53"/>
    </row>
    <row r="284">
      <c r="A284" s="231"/>
      <c r="C284" s="232"/>
      <c r="D284" s="231"/>
      <c r="E284" s="56"/>
      <c r="F284" s="109"/>
      <c r="G284" s="53"/>
      <c r="H284" s="53"/>
      <c r="I284" s="53"/>
      <c r="J284" s="54"/>
      <c r="K284" s="60"/>
      <c r="L284" s="53"/>
      <c r="P284" s="91"/>
      <c r="Q284" s="92"/>
      <c r="R284" s="93"/>
      <c r="S284" s="93"/>
      <c r="T284" s="53"/>
      <c r="U284" s="53"/>
    </row>
    <row r="285">
      <c r="A285" s="231"/>
      <c r="C285" s="232"/>
      <c r="D285" s="231"/>
      <c r="E285" s="56"/>
      <c r="F285" s="109"/>
      <c r="G285" s="53"/>
      <c r="H285" s="53"/>
      <c r="I285" s="53"/>
      <c r="J285" s="54"/>
      <c r="K285" s="60"/>
      <c r="L285" s="53"/>
      <c r="P285" s="91"/>
      <c r="Q285" s="92"/>
      <c r="R285" s="93"/>
      <c r="S285" s="93"/>
      <c r="T285" s="53"/>
      <c r="U285" s="53"/>
    </row>
    <row r="286">
      <c r="A286" s="231"/>
      <c r="C286" s="232"/>
      <c r="D286" s="231"/>
      <c r="E286" s="56"/>
      <c r="F286" s="109"/>
      <c r="G286" s="53"/>
      <c r="H286" s="53"/>
      <c r="I286" s="53"/>
      <c r="J286" s="54"/>
      <c r="K286" s="60"/>
      <c r="L286" s="53"/>
      <c r="P286" s="91"/>
      <c r="Q286" s="92"/>
      <c r="R286" s="93"/>
      <c r="S286" s="93"/>
      <c r="T286" s="53"/>
      <c r="U286" s="53"/>
    </row>
    <row r="287">
      <c r="A287" s="231"/>
      <c r="C287" s="232"/>
      <c r="D287" s="231"/>
      <c r="E287" s="56"/>
      <c r="F287" s="109"/>
      <c r="G287" s="53"/>
      <c r="H287" s="53"/>
      <c r="I287" s="53"/>
      <c r="J287" s="54"/>
      <c r="K287" s="60"/>
      <c r="L287" s="53"/>
      <c r="P287" s="91"/>
      <c r="Q287" s="92"/>
      <c r="R287" s="93"/>
      <c r="S287" s="93"/>
      <c r="T287" s="53"/>
      <c r="U287" s="53"/>
    </row>
    <row r="288">
      <c r="A288" s="231"/>
      <c r="C288" s="232"/>
      <c r="D288" s="231"/>
      <c r="E288" s="56"/>
      <c r="F288" s="109"/>
      <c r="G288" s="53"/>
      <c r="H288" s="53"/>
      <c r="I288" s="53"/>
      <c r="J288" s="54"/>
      <c r="K288" s="60"/>
      <c r="L288" s="53"/>
      <c r="P288" s="91"/>
      <c r="Q288" s="92"/>
      <c r="R288" s="93"/>
      <c r="S288" s="93"/>
      <c r="T288" s="53"/>
      <c r="U288" s="53"/>
    </row>
    <row r="289">
      <c r="A289" s="231"/>
      <c r="C289" s="232"/>
      <c r="D289" s="231"/>
      <c r="E289" s="56"/>
      <c r="F289" s="109"/>
      <c r="G289" s="53"/>
      <c r="H289" s="53"/>
      <c r="I289" s="53"/>
      <c r="J289" s="54"/>
      <c r="K289" s="60"/>
      <c r="L289" s="53"/>
      <c r="P289" s="91"/>
      <c r="Q289" s="92"/>
      <c r="R289" s="93"/>
      <c r="S289" s="93"/>
      <c r="T289" s="53"/>
      <c r="U289" s="53"/>
    </row>
    <row r="290">
      <c r="A290" s="231"/>
      <c r="C290" s="232"/>
      <c r="D290" s="231"/>
      <c r="E290" s="56"/>
      <c r="F290" s="109"/>
      <c r="G290" s="53"/>
      <c r="H290" s="53"/>
      <c r="I290" s="53"/>
      <c r="J290" s="54"/>
      <c r="K290" s="60"/>
      <c r="L290" s="53"/>
      <c r="P290" s="91"/>
      <c r="Q290" s="92"/>
      <c r="R290" s="93"/>
      <c r="S290" s="93"/>
      <c r="T290" s="53"/>
      <c r="U290" s="53"/>
    </row>
    <row r="291">
      <c r="A291" s="231"/>
      <c r="C291" s="232"/>
      <c r="D291" s="231"/>
      <c r="E291" s="56"/>
      <c r="F291" s="109"/>
      <c r="G291" s="53"/>
      <c r="H291" s="53"/>
      <c r="I291" s="53"/>
      <c r="J291" s="54"/>
      <c r="K291" s="60"/>
      <c r="L291" s="53"/>
      <c r="P291" s="91"/>
      <c r="Q291" s="92"/>
      <c r="R291" s="93"/>
      <c r="S291" s="93"/>
      <c r="T291" s="53"/>
      <c r="U291" s="53"/>
    </row>
    <row r="292">
      <c r="A292" s="231"/>
      <c r="C292" s="232"/>
      <c r="D292" s="231"/>
      <c r="E292" s="56"/>
      <c r="F292" s="109"/>
      <c r="G292" s="53"/>
      <c r="H292" s="53"/>
      <c r="I292" s="53"/>
      <c r="J292" s="54"/>
      <c r="K292" s="60"/>
      <c r="L292" s="53"/>
      <c r="P292" s="91"/>
      <c r="Q292" s="92"/>
      <c r="R292" s="93"/>
      <c r="S292" s="93"/>
      <c r="T292" s="53"/>
      <c r="U292" s="53"/>
    </row>
    <row r="293">
      <c r="A293" s="231"/>
      <c r="C293" s="232"/>
      <c r="D293" s="231"/>
      <c r="E293" s="56"/>
      <c r="F293" s="109"/>
      <c r="G293" s="53"/>
      <c r="H293" s="53"/>
      <c r="I293" s="53"/>
      <c r="J293" s="54"/>
      <c r="K293" s="60"/>
      <c r="L293" s="53"/>
      <c r="P293" s="91"/>
      <c r="Q293" s="92"/>
      <c r="R293" s="93"/>
      <c r="S293" s="93"/>
      <c r="T293" s="53"/>
      <c r="U293" s="53"/>
    </row>
    <row r="294">
      <c r="A294" s="231"/>
      <c r="C294" s="232"/>
      <c r="D294" s="231"/>
      <c r="E294" s="56"/>
      <c r="F294" s="109"/>
      <c r="G294" s="53"/>
      <c r="H294" s="53"/>
      <c r="I294" s="53"/>
      <c r="J294" s="54"/>
      <c r="K294" s="60"/>
      <c r="L294" s="53"/>
      <c r="P294" s="91"/>
      <c r="Q294" s="92"/>
      <c r="R294" s="93"/>
      <c r="S294" s="93"/>
      <c r="T294" s="53"/>
      <c r="U294" s="53"/>
    </row>
    <row r="295">
      <c r="A295" s="231"/>
      <c r="C295" s="232"/>
      <c r="D295" s="231"/>
      <c r="E295" s="56"/>
      <c r="F295" s="109"/>
      <c r="G295" s="53"/>
      <c r="H295" s="53"/>
      <c r="I295" s="53"/>
      <c r="J295" s="54"/>
      <c r="K295" s="60"/>
      <c r="L295" s="53"/>
      <c r="P295" s="91"/>
      <c r="Q295" s="92"/>
      <c r="R295" s="93"/>
      <c r="S295" s="93"/>
      <c r="T295" s="53"/>
      <c r="U295" s="53"/>
    </row>
    <row r="296">
      <c r="A296" s="231"/>
      <c r="C296" s="232"/>
      <c r="D296" s="231"/>
      <c r="E296" s="56"/>
      <c r="F296" s="109"/>
      <c r="G296" s="53"/>
      <c r="H296" s="53"/>
      <c r="I296" s="53"/>
      <c r="J296" s="54"/>
      <c r="K296" s="60"/>
      <c r="L296" s="53"/>
      <c r="P296" s="91"/>
      <c r="Q296" s="92"/>
      <c r="R296" s="93"/>
      <c r="S296" s="93"/>
      <c r="T296" s="53"/>
      <c r="U296" s="53"/>
    </row>
    <row r="297">
      <c r="A297" s="231"/>
      <c r="C297" s="232"/>
      <c r="D297" s="231"/>
      <c r="E297" s="56"/>
      <c r="F297" s="109"/>
      <c r="G297" s="53"/>
      <c r="H297" s="53"/>
      <c r="I297" s="53"/>
      <c r="J297" s="54"/>
      <c r="K297" s="60"/>
      <c r="L297" s="53"/>
      <c r="P297" s="91"/>
      <c r="Q297" s="92"/>
      <c r="R297" s="93"/>
      <c r="S297" s="93"/>
      <c r="T297" s="53"/>
      <c r="U297" s="53"/>
    </row>
    <row r="298">
      <c r="A298" s="231"/>
      <c r="C298" s="232"/>
      <c r="D298" s="231"/>
      <c r="E298" s="56"/>
      <c r="F298" s="109"/>
      <c r="G298" s="53"/>
      <c r="H298" s="53"/>
      <c r="I298" s="53"/>
      <c r="J298" s="54"/>
      <c r="K298" s="60"/>
      <c r="L298" s="53"/>
      <c r="P298" s="91"/>
      <c r="Q298" s="92"/>
      <c r="R298" s="93"/>
      <c r="S298" s="93"/>
      <c r="T298" s="53"/>
      <c r="U298" s="53"/>
    </row>
    <row r="299">
      <c r="A299" s="231"/>
      <c r="C299" s="232"/>
      <c r="D299" s="231"/>
      <c r="E299" s="56"/>
      <c r="F299" s="109"/>
      <c r="G299" s="53"/>
      <c r="H299" s="53"/>
      <c r="I299" s="53"/>
      <c r="J299" s="54"/>
      <c r="K299" s="60"/>
      <c r="L299" s="53"/>
      <c r="P299" s="91"/>
      <c r="Q299" s="92"/>
      <c r="R299" s="93"/>
      <c r="S299" s="93"/>
      <c r="T299" s="53"/>
      <c r="U299" s="53"/>
    </row>
    <row r="300">
      <c r="A300" s="231"/>
      <c r="C300" s="232"/>
      <c r="D300" s="231"/>
      <c r="E300" s="56"/>
      <c r="F300" s="109"/>
      <c r="G300" s="53"/>
      <c r="H300" s="53"/>
      <c r="I300" s="53"/>
      <c r="J300" s="54"/>
      <c r="K300" s="60"/>
      <c r="L300" s="53"/>
      <c r="P300" s="91"/>
      <c r="Q300" s="92"/>
      <c r="R300" s="93"/>
      <c r="S300" s="93"/>
      <c r="T300" s="53"/>
      <c r="U300" s="53"/>
    </row>
    <row r="301">
      <c r="A301" s="231"/>
      <c r="C301" s="232"/>
      <c r="D301" s="231"/>
      <c r="E301" s="56"/>
      <c r="F301" s="109"/>
      <c r="G301" s="53"/>
      <c r="H301" s="53"/>
      <c r="I301" s="53"/>
      <c r="J301" s="54"/>
      <c r="K301" s="60"/>
      <c r="L301" s="53"/>
      <c r="P301" s="91"/>
      <c r="Q301" s="92"/>
      <c r="R301" s="93"/>
      <c r="S301" s="93"/>
      <c r="T301" s="53"/>
      <c r="U301" s="53"/>
    </row>
    <row r="302">
      <c r="A302" s="231"/>
      <c r="C302" s="232"/>
      <c r="D302" s="231"/>
      <c r="E302" s="56"/>
      <c r="F302" s="109"/>
      <c r="G302" s="53"/>
      <c r="H302" s="53"/>
      <c r="I302" s="53"/>
      <c r="J302" s="54"/>
      <c r="K302" s="60"/>
      <c r="L302" s="53"/>
      <c r="P302" s="91"/>
      <c r="Q302" s="92"/>
      <c r="R302" s="93"/>
      <c r="S302" s="93"/>
      <c r="T302" s="53"/>
      <c r="U302" s="53"/>
    </row>
    <row r="303">
      <c r="A303" s="231"/>
      <c r="C303" s="232"/>
      <c r="D303" s="231"/>
      <c r="E303" s="56"/>
      <c r="F303" s="109"/>
      <c r="G303" s="53"/>
      <c r="H303" s="53"/>
      <c r="I303" s="53"/>
      <c r="J303" s="54"/>
      <c r="K303" s="60"/>
      <c r="L303" s="53"/>
      <c r="P303" s="91"/>
      <c r="Q303" s="92"/>
      <c r="R303" s="93"/>
      <c r="S303" s="93"/>
      <c r="T303" s="53"/>
      <c r="U303" s="53"/>
    </row>
    <row r="304">
      <c r="A304" s="231"/>
      <c r="C304" s="232"/>
      <c r="D304" s="231"/>
      <c r="E304" s="56"/>
      <c r="F304" s="109"/>
      <c r="G304" s="53"/>
      <c r="H304" s="53"/>
      <c r="I304" s="53"/>
      <c r="J304" s="54"/>
      <c r="K304" s="60"/>
      <c r="L304" s="53"/>
      <c r="P304" s="91"/>
      <c r="Q304" s="92"/>
      <c r="R304" s="93"/>
      <c r="S304" s="93"/>
      <c r="T304" s="53"/>
      <c r="U304" s="53"/>
    </row>
    <row r="305">
      <c r="A305" s="231"/>
      <c r="C305" s="232"/>
      <c r="D305" s="231"/>
      <c r="E305" s="56"/>
      <c r="F305" s="109"/>
      <c r="G305" s="53"/>
      <c r="H305" s="53"/>
      <c r="I305" s="53"/>
      <c r="J305" s="54"/>
      <c r="K305" s="60"/>
      <c r="L305" s="53"/>
      <c r="P305" s="91"/>
      <c r="Q305" s="92"/>
      <c r="R305" s="93"/>
      <c r="S305" s="93"/>
      <c r="T305" s="53"/>
      <c r="U305" s="53"/>
    </row>
    <row r="306">
      <c r="A306" s="231"/>
      <c r="C306" s="232"/>
      <c r="D306" s="231"/>
      <c r="E306" s="56"/>
      <c r="F306" s="109"/>
      <c r="G306" s="53"/>
      <c r="H306" s="53"/>
      <c r="I306" s="53"/>
      <c r="J306" s="54"/>
      <c r="K306" s="60"/>
      <c r="L306" s="53"/>
      <c r="P306" s="91"/>
      <c r="Q306" s="92"/>
      <c r="R306" s="93"/>
      <c r="S306" s="93"/>
      <c r="T306" s="53"/>
      <c r="U306" s="53"/>
    </row>
    <row r="307">
      <c r="A307" s="231"/>
      <c r="C307" s="232"/>
      <c r="D307" s="231"/>
      <c r="E307" s="56"/>
      <c r="F307" s="109"/>
      <c r="G307" s="53"/>
      <c r="H307" s="53"/>
      <c r="I307" s="53"/>
      <c r="J307" s="54"/>
      <c r="K307" s="60"/>
      <c r="L307" s="53"/>
      <c r="P307" s="91"/>
      <c r="Q307" s="92"/>
      <c r="R307" s="93"/>
      <c r="S307" s="93"/>
      <c r="T307" s="53"/>
      <c r="U307" s="53"/>
    </row>
    <row r="308">
      <c r="A308" s="231"/>
      <c r="C308" s="232"/>
      <c r="D308" s="231"/>
      <c r="E308" s="56"/>
      <c r="F308" s="109"/>
      <c r="G308" s="53"/>
      <c r="H308" s="53"/>
      <c r="I308" s="53"/>
      <c r="J308" s="54"/>
      <c r="K308" s="60"/>
      <c r="L308" s="53"/>
      <c r="P308" s="91"/>
      <c r="Q308" s="92"/>
      <c r="R308" s="93"/>
      <c r="S308" s="93"/>
      <c r="T308" s="53"/>
      <c r="U308" s="53"/>
    </row>
    <row r="309">
      <c r="A309" s="231"/>
      <c r="C309" s="232"/>
      <c r="D309" s="231"/>
      <c r="E309" s="56"/>
      <c r="F309" s="109"/>
      <c r="G309" s="53"/>
      <c r="H309" s="53"/>
      <c r="I309" s="53"/>
      <c r="J309" s="54"/>
      <c r="K309" s="60"/>
      <c r="L309" s="53"/>
      <c r="P309" s="91"/>
      <c r="Q309" s="92"/>
      <c r="R309" s="93"/>
      <c r="S309" s="93"/>
      <c r="T309" s="53"/>
      <c r="U309" s="53"/>
    </row>
    <row r="310">
      <c r="A310" s="231"/>
      <c r="C310" s="232"/>
      <c r="D310" s="231"/>
      <c r="E310" s="56"/>
      <c r="F310" s="109"/>
      <c r="G310" s="53"/>
      <c r="H310" s="53"/>
      <c r="I310" s="53"/>
      <c r="J310" s="54"/>
      <c r="K310" s="60"/>
      <c r="L310" s="53"/>
      <c r="P310" s="91"/>
      <c r="Q310" s="92"/>
      <c r="R310" s="93"/>
      <c r="S310" s="93"/>
      <c r="T310" s="53"/>
      <c r="U310" s="53"/>
    </row>
    <row r="311">
      <c r="A311" s="231"/>
      <c r="C311" s="232"/>
      <c r="D311" s="231"/>
      <c r="E311" s="56"/>
      <c r="F311" s="109"/>
      <c r="G311" s="53"/>
      <c r="H311" s="53"/>
      <c r="I311" s="53"/>
      <c r="J311" s="54"/>
      <c r="K311" s="60"/>
      <c r="L311" s="53"/>
      <c r="P311" s="91"/>
      <c r="Q311" s="92"/>
      <c r="R311" s="93"/>
      <c r="S311" s="93"/>
      <c r="T311" s="53"/>
      <c r="U311" s="53"/>
    </row>
    <row r="312">
      <c r="A312" s="231"/>
      <c r="C312" s="232"/>
      <c r="D312" s="231"/>
      <c r="E312" s="56"/>
      <c r="F312" s="109"/>
      <c r="G312" s="53"/>
      <c r="H312" s="53"/>
      <c r="I312" s="53"/>
      <c r="J312" s="54"/>
      <c r="K312" s="60"/>
      <c r="L312" s="53"/>
      <c r="P312" s="91"/>
      <c r="Q312" s="92"/>
      <c r="R312" s="93"/>
      <c r="S312" s="93"/>
      <c r="T312" s="53"/>
      <c r="U312" s="53"/>
    </row>
    <row r="313">
      <c r="A313" s="231"/>
      <c r="C313" s="232"/>
      <c r="D313" s="231"/>
      <c r="E313" s="56"/>
      <c r="F313" s="109"/>
      <c r="G313" s="53"/>
      <c r="H313" s="53"/>
      <c r="I313" s="53"/>
      <c r="J313" s="54"/>
      <c r="K313" s="60"/>
      <c r="L313" s="53"/>
      <c r="P313" s="91"/>
      <c r="Q313" s="92"/>
      <c r="R313" s="93"/>
      <c r="S313" s="93"/>
      <c r="T313" s="53"/>
      <c r="U313" s="53"/>
    </row>
    <row r="314">
      <c r="A314" s="231"/>
      <c r="C314" s="232"/>
      <c r="D314" s="231"/>
      <c r="E314" s="56"/>
      <c r="F314" s="109"/>
      <c r="G314" s="53"/>
      <c r="H314" s="53"/>
      <c r="I314" s="53"/>
      <c r="J314" s="54"/>
      <c r="K314" s="60"/>
      <c r="L314" s="53"/>
      <c r="P314" s="91"/>
      <c r="Q314" s="92"/>
      <c r="R314" s="93"/>
      <c r="S314" s="93"/>
      <c r="T314" s="53"/>
      <c r="U314" s="53"/>
    </row>
    <row r="315">
      <c r="A315" s="231"/>
      <c r="C315" s="232"/>
      <c r="D315" s="231"/>
      <c r="E315" s="56"/>
      <c r="F315" s="109"/>
      <c r="G315" s="53"/>
      <c r="H315" s="53"/>
      <c r="I315" s="53"/>
      <c r="J315" s="54"/>
      <c r="K315" s="60"/>
      <c r="L315" s="53"/>
      <c r="P315" s="91"/>
      <c r="Q315" s="92"/>
      <c r="R315" s="93"/>
      <c r="S315" s="93"/>
      <c r="T315" s="53"/>
      <c r="U315" s="53"/>
    </row>
    <row r="316">
      <c r="A316" s="231"/>
      <c r="C316" s="232"/>
      <c r="D316" s="231"/>
      <c r="E316" s="56"/>
      <c r="F316" s="109"/>
      <c r="G316" s="53"/>
      <c r="H316" s="53"/>
      <c r="I316" s="53"/>
      <c r="J316" s="54"/>
      <c r="K316" s="60"/>
      <c r="L316" s="53"/>
      <c r="P316" s="91"/>
      <c r="Q316" s="92"/>
      <c r="R316" s="93"/>
      <c r="S316" s="93"/>
      <c r="T316" s="53"/>
      <c r="U316" s="53"/>
    </row>
    <row r="317">
      <c r="A317" s="231"/>
      <c r="C317" s="232"/>
      <c r="D317" s="231"/>
      <c r="E317" s="56"/>
      <c r="F317" s="109"/>
      <c r="G317" s="53"/>
      <c r="H317" s="53"/>
      <c r="I317" s="53"/>
      <c r="J317" s="54"/>
      <c r="K317" s="60"/>
      <c r="L317" s="53"/>
      <c r="P317" s="91"/>
      <c r="Q317" s="92"/>
      <c r="R317" s="93"/>
      <c r="S317" s="93"/>
      <c r="T317" s="53"/>
      <c r="U317" s="53"/>
    </row>
    <row r="318">
      <c r="A318" s="231"/>
      <c r="C318" s="232"/>
      <c r="D318" s="231"/>
      <c r="E318" s="56"/>
      <c r="F318" s="109"/>
      <c r="G318" s="53"/>
      <c r="H318" s="53"/>
      <c r="I318" s="53"/>
      <c r="J318" s="54"/>
      <c r="K318" s="60"/>
      <c r="L318" s="53"/>
      <c r="P318" s="91"/>
      <c r="Q318" s="92"/>
      <c r="R318" s="93"/>
      <c r="S318" s="93"/>
      <c r="T318" s="53"/>
      <c r="U318" s="53"/>
    </row>
    <row r="319">
      <c r="A319" s="231"/>
      <c r="C319" s="232"/>
      <c r="D319" s="231"/>
      <c r="E319" s="56"/>
      <c r="F319" s="109"/>
      <c r="G319" s="53"/>
      <c r="H319" s="53"/>
      <c r="I319" s="53"/>
      <c r="J319" s="54"/>
      <c r="K319" s="60"/>
      <c r="L319" s="53"/>
      <c r="P319" s="91"/>
      <c r="Q319" s="92"/>
      <c r="R319" s="93"/>
      <c r="S319" s="93"/>
      <c r="T319" s="53"/>
      <c r="U319" s="53"/>
    </row>
    <row r="320">
      <c r="A320" s="231"/>
      <c r="C320" s="232"/>
      <c r="D320" s="231"/>
      <c r="E320" s="56"/>
      <c r="F320" s="109"/>
      <c r="G320" s="53"/>
      <c r="H320" s="53"/>
      <c r="I320" s="53"/>
      <c r="J320" s="54"/>
      <c r="K320" s="60"/>
      <c r="L320" s="53"/>
      <c r="P320" s="91"/>
      <c r="Q320" s="92"/>
      <c r="R320" s="93"/>
      <c r="S320" s="93"/>
      <c r="T320" s="53"/>
      <c r="U320" s="53"/>
    </row>
    <row r="321">
      <c r="A321" s="231"/>
      <c r="C321" s="232"/>
      <c r="D321" s="231"/>
      <c r="E321" s="56"/>
      <c r="F321" s="109"/>
      <c r="G321" s="53"/>
      <c r="H321" s="53"/>
      <c r="I321" s="53"/>
      <c r="J321" s="54"/>
      <c r="K321" s="60"/>
      <c r="L321" s="53"/>
      <c r="P321" s="91"/>
      <c r="Q321" s="92"/>
      <c r="R321" s="93"/>
      <c r="S321" s="93"/>
      <c r="T321" s="53"/>
      <c r="U321" s="53"/>
    </row>
    <row r="322">
      <c r="A322" s="231"/>
      <c r="C322" s="232"/>
      <c r="D322" s="231"/>
      <c r="E322" s="56"/>
      <c r="F322" s="109"/>
      <c r="G322" s="53"/>
      <c r="H322" s="53"/>
      <c r="I322" s="53"/>
      <c r="J322" s="54"/>
      <c r="K322" s="60"/>
      <c r="L322" s="53"/>
      <c r="P322" s="91"/>
      <c r="Q322" s="92"/>
      <c r="R322" s="93"/>
      <c r="S322" s="93"/>
      <c r="T322" s="53"/>
      <c r="U322" s="53"/>
    </row>
    <row r="323">
      <c r="A323" s="231"/>
      <c r="C323" s="232"/>
      <c r="D323" s="231"/>
      <c r="E323" s="56"/>
      <c r="F323" s="109"/>
      <c r="G323" s="53"/>
      <c r="H323" s="53"/>
      <c r="I323" s="53"/>
      <c r="J323" s="54"/>
      <c r="K323" s="60"/>
      <c r="L323" s="53"/>
      <c r="P323" s="91"/>
      <c r="Q323" s="92"/>
      <c r="R323" s="93"/>
      <c r="S323" s="93"/>
      <c r="T323" s="53"/>
      <c r="U323" s="53"/>
    </row>
    <row r="324">
      <c r="A324" s="231"/>
      <c r="C324" s="232"/>
      <c r="D324" s="231"/>
      <c r="E324" s="56"/>
      <c r="F324" s="109"/>
      <c r="G324" s="53"/>
      <c r="H324" s="53"/>
      <c r="I324" s="53"/>
      <c r="J324" s="54"/>
      <c r="K324" s="60"/>
      <c r="L324" s="53"/>
      <c r="P324" s="91"/>
      <c r="Q324" s="92"/>
      <c r="R324" s="93"/>
      <c r="S324" s="93"/>
      <c r="T324" s="53"/>
      <c r="U324" s="53"/>
    </row>
    <row r="325">
      <c r="A325" s="231"/>
      <c r="C325" s="232"/>
      <c r="D325" s="231"/>
      <c r="E325" s="56"/>
      <c r="F325" s="109"/>
      <c r="G325" s="53"/>
      <c r="H325" s="53"/>
      <c r="I325" s="53"/>
      <c r="J325" s="54"/>
      <c r="K325" s="60"/>
      <c r="L325" s="53"/>
      <c r="P325" s="91"/>
      <c r="Q325" s="92"/>
      <c r="R325" s="93"/>
      <c r="S325" s="93"/>
      <c r="T325" s="53"/>
      <c r="U325" s="53"/>
    </row>
    <row r="326">
      <c r="A326" s="231"/>
      <c r="C326" s="232"/>
      <c r="D326" s="231"/>
      <c r="E326" s="56"/>
      <c r="F326" s="109"/>
      <c r="G326" s="53"/>
      <c r="H326" s="53"/>
      <c r="I326" s="53"/>
      <c r="J326" s="54"/>
      <c r="K326" s="60"/>
      <c r="L326" s="53"/>
      <c r="P326" s="91"/>
      <c r="Q326" s="92"/>
      <c r="R326" s="93"/>
      <c r="S326" s="93"/>
      <c r="T326" s="53"/>
      <c r="U326" s="53"/>
    </row>
    <row r="327">
      <c r="A327" s="231"/>
      <c r="C327" s="232"/>
      <c r="D327" s="231"/>
      <c r="E327" s="56"/>
      <c r="F327" s="109"/>
      <c r="G327" s="53"/>
      <c r="H327" s="53"/>
      <c r="I327" s="53"/>
      <c r="J327" s="54"/>
      <c r="K327" s="60"/>
      <c r="L327" s="53"/>
      <c r="P327" s="91"/>
      <c r="Q327" s="92"/>
      <c r="R327" s="93"/>
      <c r="S327" s="93"/>
      <c r="T327" s="53"/>
      <c r="U327" s="53"/>
    </row>
    <row r="328">
      <c r="A328" s="231"/>
      <c r="C328" s="232"/>
      <c r="D328" s="231"/>
      <c r="E328" s="56"/>
      <c r="F328" s="109"/>
      <c r="G328" s="53"/>
      <c r="H328" s="53"/>
      <c r="I328" s="53"/>
      <c r="J328" s="54"/>
      <c r="K328" s="60"/>
      <c r="L328" s="53"/>
      <c r="P328" s="91"/>
      <c r="Q328" s="92"/>
      <c r="R328" s="93"/>
      <c r="S328" s="93"/>
      <c r="T328" s="53"/>
      <c r="U328" s="53"/>
    </row>
    <row r="329">
      <c r="A329" s="231"/>
      <c r="C329" s="232"/>
      <c r="D329" s="231"/>
      <c r="E329" s="56"/>
      <c r="F329" s="109"/>
      <c r="G329" s="53"/>
      <c r="H329" s="53"/>
      <c r="I329" s="53"/>
      <c r="J329" s="54"/>
      <c r="K329" s="60"/>
      <c r="L329" s="53"/>
      <c r="P329" s="91"/>
      <c r="Q329" s="92"/>
      <c r="R329" s="93"/>
      <c r="S329" s="93"/>
      <c r="T329" s="53"/>
      <c r="U329" s="53"/>
    </row>
    <row r="330">
      <c r="A330" s="231"/>
      <c r="C330" s="232"/>
      <c r="D330" s="231"/>
      <c r="E330" s="56"/>
      <c r="F330" s="109"/>
      <c r="G330" s="53"/>
      <c r="H330" s="53"/>
      <c r="I330" s="53"/>
      <c r="J330" s="54"/>
      <c r="K330" s="60"/>
      <c r="L330" s="53"/>
      <c r="P330" s="91"/>
      <c r="Q330" s="92"/>
      <c r="R330" s="93"/>
      <c r="S330" s="93"/>
      <c r="T330" s="53"/>
      <c r="U330" s="53"/>
    </row>
    <row r="331">
      <c r="A331" s="231"/>
      <c r="C331" s="232"/>
      <c r="D331" s="231"/>
      <c r="E331" s="56"/>
      <c r="F331" s="109"/>
      <c r="G331" s="53"/>
      <c r="H331" s="53"/>
      <c r="I331" s="53"/>
      <c r="J331" s="54"/>
      <c r="K331" s="60"/>
      <c r="L331" s="53"/>
      <c r="P331" s="91"/>
      <c r="Q331" s="92"/>
      <c r="R331" s="93"/>
      <c r="S331" s="93"/>
      <c r="T331" s="53"/>
      <c r="U331" s="53"/>
    </row>
    <row r="332">
      <c r="A332" s="231"/>
      <c r="C332" s="232"/>
      <c r="D332" s="231"/>
      <c r="E332" s="56"/>
      <c r="F332" s="109"/>
      <c r="G332" s="53"/>
      <c r="H332" s="53"/>
      <c r="I332" s="53"/>
      <c r="J332" s="54"/>
      <c r="K332" s="60"/>
      <c r="L332" s="53"/>
      <c r="P332" s="91"/>
      <c r="Q332" s="92"/>
      <c r="R332" s="93"/>
      <c r="S332" s="93"/>
      <c r="T332" s="53"/>
      <c r="U332" s="53"/>
    </row>
    <row r="333">
      <c r="A333" s="231"/>
      <c r="C333" s="232"/>
      <c r="D333" s="231"/>
      <c r="E333" s="56"/>
      <c r="F333" s="109"/>
      <c r="G333" s="53"/>
      <c r="H333" s="53"/>
      <c r="I333" s="53"/>
      <c r="J333" s="54"/>
      <c r="K333" s="60"/>
      <c r="L333" s="53"/>
      <c r="P333" s="91"/>
      <c r="Q333" s="92"/>
      <c r="R333" s="93"/>
      <c r="S333" s="93"/>
      <c r="T333" s="53"/>
      <c r="U333" s="53"/>
    </row>
    <row r="334">
      <c r="A334" s="231"/>
      <c r="C334" s="232"/>
      <c r="D334" s="231"/>
      <c r="E334" s="56"/>
      <c r="F334" s="109"/>
      <c r="G334" s="53"/>
      <c r="H334" s="53"/>
      <c r="I334" s="53"/>
      <c r="J334" s="54"/>
      <c r="K334" s="60"/>
      <c r="L334" s="53"/>
      <c r="P334" s="91"/>
      <c r="Q334" s="92"/>
      <c r="R334" s="93"/>
      <c r="S334" s="93"/>
      <c r="T334" s="53"/>
      <c r="U334" s="53"/>
    </row>
    <row r="335">
      <c r="A335" s="231"/>
      <c r="C335" s="232"/>
      <c r="D335" s="231"/>
      <c r="E335" s="56"/>
      <c r="F335" s="109"/>
      <c r="G335" s="53"/>
      <c r="H335" s="53"/>
      <c r="I335" s="53"/>
      <c r="J335" s="54"/>
      <c r="K335" s="60"/>
      <c r="L335" s="53"/>
      <c r="P335" s="91"/>
      <c r="Q335" s="92"/>
      <c r="R335" s="93"/>
      <c r="S335" s="93"/>
      <c r="T335" s="53"/>
      <c r="U335" s="53"/>
    </row>
    <row r="336">
      <c r="A336" s="231"/>
      <c r="C336" s="232"/>
      <c r="D336" s="231"/>
      <c r="E336" s="56"/>
      <c r="F336" s="109"/>
      <c r="G336" s="53"/>
      <c r="H336" s="53"/>
      <c r="I336" s="53"/>
      <c r="J336" s="54"/>
      <c r="K336" s="60"/>
      <c r="L336" s="53"/>
      <c r="P336" s="91"/>
      <c r="Q336" s="92"/>
      <c r="R336" s="93"/>
      <c r="S336" s="93"/>
      <c r="T336" s="53"/>
      <c r="U336" s="53"/>
    </row>
    <row r="337">
      <c r="A337" s="231"/>
      <c r="C337" s="232"/>
      <c r="D337" s="231"/>
      <c r="E337" s="56"/>
      <c r="F337" s="109"/>
      <c r="G337" s="53"/>
      <c r="H337" s="53"/>
      <c r="I337" s="53"/>
      <c r="J337" s="54"/>
      <c r="K337" s="60"/>
      <c r="L337" s="53"/>
      <c r="P337" s="91"/>
      <c r="Q337" s="92"/>
      <c r="R337" s="93"/>
      <c r="S337" s="93"/>
      <c r="T337" s="53"/>
      <c r="U337" s="53"/>
    </row>
    <row r="338">
      <c r="A338" s="231"/>
      <c r="C338" s="232"/>
      <c r="D338" s="231"/>
      <c r="E338" s="56"/>
      <c r="F338" s="109"/>
      <c r="G338" s="53"/>
      <c r="H338" s="53"/>
      <c r="I338" s="53"/>
      <c r="J338" s="54"/>
      <c r="K338" s="60"/>
      <c r="L338" s="53"/>
      <c r="P338" s="91"/>
      <c r="Q338" s="92"/>
      <c r="R338" s="93"/>
      <c r="S338" s="93"/>
      <c r="T338" s="53"/>
      <c r="U338" s="53"/>
    </row>
    <row r="339">
      <c r="A339" s="231"/>
      <c r="C339" s="232"/>
      <c r="D339" s="231"/>
      <c r="E339" s="56"/>
      <c r="F339" s="109"/>
      <c r="G339" s="53"/>
      <c r="H339" s="53"/>
      <c r="I339" s="53"/>
      <c r="J339" s="54"/>
      <c r="K339" s="60"/>
      <c r="L339" s="53"/>
      <c r="P339" s="91"/>
      <c r="Q339" s="92"/>
      <c r="R339" s="93"/>
      <c r="S339" s="93"/>
      <c r="T339" s="53"/>
      <c r="U339" s="53"/>
    </row>
    <row r="340">
      <c r="A340" s="231"/>
      <c r="C340" s="232"/>
      <c r="D340" s="231"/>
      <c r="E340" s="56"/>
      <c r="F340" s="109"/>
      <c r="G340" s="53"/>
      <c r="H340" s="53"/>
      <c r="I340" s="53"/>
      <c r="J340" s="54"/>
      <c r="K340" s="60"/>
      <c r="L340" s="53"/>
      <c r="P340" s="91"/>
      <c r="Q340" s="92"/>
      <c r="R340" s="93"/>
      <c r="S340" s="93"/>
      <c r="T340" s="53"/>
      <c r="U340" s="53"/>
    </row>
    <row r="341">
      <c r="A341" s="231"/>
      <c r="C341" s="232"/>
      <c r="D341" s="231"/>
      <c r="E341" s="56"/>
      <c r="F341" s="109"/>
      <c r="G341" s="53"/>
      <c r="H341" s="53"/>
      <c r="I341" s="53"/>
      <c r="J341" s="54"/>
      <c r="K341" s="60"/>
      <c r="L341" s="53"/>
      <c r="P341" s="91"/>
      <c r="Q341" s="92"/>
      <c r="R341" s="93"/>
      <c r="S341" s="93"/>
      <c r="T341" s="53"/>
      <c r="U341" s="53"/>
    </row>
    <row r="342">
      <c r="A342" s="231"/>
      <c r="C342" s="232"/>
      <c r="D342" s="231"/>
      <c r="E342" s="56"/>
      <c r="F342" s="109"/>
      <c r="G342" s="53"/>
      <c r="H342" s="53"/>
      <c r="I342" s="53"/>
      <c r="J342" s="54"/>
      <c r="K342" s="60"/>
      <c r="L342" s="53"/>
      <c r="P342" s="91"/>
      <c r="Q342" s="92"/>
      <c r="R342" s="93"/>
      <c r="S342" s="93"/>
      <c r="T342" s="53"/>
      <c r="U342" s="53"/>
    </row>
    <row r="343">
      <c r="A343" s="231"/>
      <c r="C343" s="232"/>
      <c r="D343" s="231"/>
      <c r="E343" s="56"/>
      <c r="F343" s="109"/>
      <c r="G343" s="53"/>
      <c r="H343" s="53"/>
      <c r="I343" s="53"/>
      <c r="J343" s="54"/>
      <c r="K343" s="60"/>
      <c r="L343" s="53"/>
      <c r="P343" s="91"/>
      <c r="Q343" s="92"/>
      <c r="R343" s="93"/>
      <c r="S343" s="93"/>
      <c r="T343" s="53"/>
      <c r="U343" s="53"/>
    </row>
    <row r="344">
      <c r="A344" s="231"/>
      <c r="C344" s="232"/>
      <c r="D344" s="231"/>
      <c r="E344" s="56"/>
      <c r="F344" s="109"/>
      <c r="G344" s="53"/>
      <c r="H344" s="53"/>
      <c r="I344" s="53"/>
      <c r="J344" s="54"/>
      <c r="K344" s="60"/>
      <c r="L344" s="53"/>
      <c r="P344" s="91"/>
      <c r="Q344" s="92"/>
      <c r="R344" s="93"/>
      <c r="S344" s="93"/>
      <c r="T344" s="53"/>
      <c r="U344" s="53"/>
    </row>
    <row r="345">
      <c r="A345" s="231"/>
      <c r="C345" s="232"/>
      <c r="D345" s="231"/>
      <c r="E345" s="56"/>
      <c r="F345" s="109"/>
      <c r="G345" s="53"/>
      <c r="H345" s="53"/>
      <c r="I345" s="53"/>
      <c r="J345" s="54"/>
      <c r="K345" s="60"/>
      <c r="L345" s="53"/>
      <c r="P345" s="91"/>
      <c r="Q345" s="92"/>
      <c r="R345" s="93"/>
      <c r="S345" s="93"/>
      <c r="T345" s="53"/>
      <c r="U345" s="53"/>
    </row>
    <row r="346">
      <c r="A346" s="231"/>
      <c r="C346" s="232"/>
      <c r="D346" s="231"/>
      <c r="E346" s="56"/>
      <c r="F346" s="109"/>
      <c r="G346" s="53"/>
      <c r="H346" s="53"/>
      <c r="I346" s="53"/>
      <c r="J346" s="54"/>
      <c r="K346" s="60"/>
      <c r="L346" s="53"/>
      <c r="P346" s="91"/>
      <c r="Q346" s="92"/>
      <c r="R346" s="93"/>
      <c r="S346" s="93"/>
      <c r="T346" s="53"/>
      <c r="U346" s="53"/>
    </row>
    <row r="347">
      <c r="A347" s="231"/>
      <c r="C347" s="232"/>
      <c r="D347" s="231"/>
      <c r="E347" s="56"/>
      <c r="F347" s="109"/>
      <c r="G347" s="53"/>
      <c r="H347" s="53"/>
      <c r="I347" s="53"/>
      <c r="J347" s="54"/>
      <c r="K347" s="60"/>
      <c r="L347" s="53"/>
      <c r="P347" s="91"/>
      <c r="Q347" s="92"/>
      <c r="R347" s="93"/>
      <c r="S347" s="93"/>
      <c r="T347" s="53"/>
      <c r="U347" s="53"/>
    </row>
    <row r="348">
      <c r="A348" s="231"/>
      <c r="C348" s="232"/>
      <c r="D348" s="231"/>
      <c r="E348" s="56"/>
      <c r="F348" s="109"/>
      <c r="G348" s="53"/>
      <c r="H348" s="53"/>
      <c r="I348" s="53"/>
      <c r="J348" s="54"/>
      <c r="K348" s="60"/>
      <c r="L348" s="53"/>
      <c r="P348" s="91"/>
      <c r="Q348" s="92"/>
      <c r="R348" s="93"/>
      <c r="S348" s="93"/>
      <c r="T348" s="53"/>
      <c r="U348" s="53"/>
    </row>
    <row r="349">
      <c r="A349" s="231"/>
      <c r="C349" s="232"/>
      <c r="D349" s="231"/>
      <c r="E349" s="56"/>
      <c r="F349" s="109"/>
      <c r="G349" s="53"/>
      <c r="H349" s="53"/>
      <c r="I349" s="53"/>
      <c r="J349" s="54"/>
      <c r="K349" s="60"/>
      <c r="L349" s="53"/>
      <c r="P349" s="91"/>
      <c r="Q349" s="92"/>
      <c r="R349" s="93"/>
      <c r="S349" s="93"/>
      <c r="T349" s="53"/>
      <c r="U349" s="53"/>
    </row>
    <row r="350">
      <c r="A350" s="231"/>
      <c r="C350" s="232"/>
      <c r="D350" s="231"/>
      <c r="E350" s="56"/>
      <c r="F350" s="109"/>
      <c r="G350" s="53"/>
      <c r="H350" s="53"/>
      <c r="I350" s="53"/>
      <c r="J350" s="54"/>
      <c r="K350" s="60"/>
      <c r="L350" s="53"/>
      <c r="P350" s="91"/>
      <c r="Q350" s="92"/>
      <c r="R350" s="93"/>
      <c r="S350" s="93"/>
      <c r="T350" s="53"/>
      <c r="U350" s="53"/>
    </row>
    <row r="351">
      <c r="A351" s="231"/>
      <c r="C351" s="232"/>
      <c r="D351" s="231"/>
      <c r="E351" s="56"/>
      <c r="F351" s="109"/>
      <c r="G351" s="53"/>
      <c r="H351" s="53"/>
      <c r="I351" s="53"/>
      <c r="J351" s="54"/>
      <c r="K351" s="60"/>
      <c r="L351" s="53"/>
      <c r="P351" s="91"/>
      <c r="Q351" s="92"/>
      <c r="R351" s="93"/>
      <c r="S351" s="93"/>
      <c r="T351" s="53"/>
      <c r="U351" s="53"/>
    </row>
    <row r="352">
      <c r="A352" s="231"/>
      <c r="C352" s="232"/>
      <c r="D352" s="231"/>
      <c r="E352" s="56"/>
      <c r="F352" s="109"/>
      <c r="G352" s="53"/>
      <c r="H352" s="53"/>
      <c r="I352" s="53"/>
      <c r="J352" s="54"/>
      <c r="K352" s="60"/>
      <c r="L352" s="53"/>
      <c r="P352" s="91"/>
      <c r="Q352" s="92"/>
      <c r="R352" s="93"/>
      <c r="S352" s="93"/>
      <c r="T352" s="53"/>
      <c r="U352" s="53"/>
    </row>
    <row r="353">
      <c r="A353" s="231"/>
      <c r="C353" s="232"/>
      <c r="D353" s="231"/>
      <c r="E353" s="56"/>
      <c r="F353" s="109"/>
      <c r="G353" s="53"/>
      <c r="H353" s="53"/>
      <c r="I353" s="53"/>
      <c r="J353" s="54"/>
      <c r="K353" s="60"/>
      <c r="L353" s="53"/>
      <c r="P353" s="91"/>
      <c r="Q353" s="92"/>
      <c r="R353" s="93"/>
      <c r="S353" s="93"/>
      <c r="T353" s="53"/>
      <c r="U353" s="53"/>
    </row>
    <row r="354">
      <c r="A354" s="231"/>
      <c r="C354" s="232"/>
      <c r="D354" s="231"/>
      <c r="E354" s="56"/>
      <c r="F354" s="109"/>
      <c r="G354" s="53"/>
      <c r="H354" s="53"/>
      <c r="I354" s="53"/>
      <c r="J354" s="54"/>
      <c r="K354" s="60"/>
      <c r="L354" s="53"/>
      <c r="P354" s="91"/>
      <c r="Q354" s="92"/>
      <c r="R354" s="93"/>
      <c r="S354" s="93"/>
      <c r="T354" s="53"/>
      <c r="U354" s="53"/>
    </row>
    <row r="355">
      <c r="A355" s="231"/>
      <c r="C355" s="232"/>
      <c r="D355" s="231"/>
      <c r="E355" s="56"/>
      <c r="F355" s="109"/>
      <c r="G355" s="53"/>
      <c r="H355" s="53"/>
      <c r="I355" s="53"/>
      <c r="J355" s="54"/>
      <c r="K355" s="60"/>
      <c r="L355" s="53"/>
      <c r="P355" s="91"/>
      <c r="Q355" s="92"/>
      <c r="R355" s="93"/>
      <c r="S355" s="93"/>
      <c r="T355" s="53"/>
      <c r="U355" s="53"/>
    </row>
    <row r="356">
      <c r="A356" s="231"/>
      <c r="C356" s="232"/>
      <c r="D356" s="231"/>
      <c r="E356" s="56"/>
      <c r="F356" s="109"/>
      <c r="G356" s="53"/>
      <c r="H356" s="53"/>
      <c r="I356" s="53"/>
      <c r="J356" s="54"/>
      <c r="K356" s="60"/>
      <c r="L356" s="53"/>
      <c r="P356" s="91"/>
      <c r="Q356" s="92"/>
      <c r="R356" s="93"/>
      <c r="S356" s="93"/>
      <c r="T356" s="53"/>
      <c r="U356" s="53"/>
    </row>
    <row r="357">
      <c r="A357" s="231"/>
      <c r="C357" s="232"/>
      <c r="D357" s="231"/>
      <c r="E357" s="56"/>
      <c r="F357" s="109"/>
      <c r="G357" s="53"/>
      <c r="H357" s="53"/>
      <c r="I357" s="53"/>
      <c r="J357" s="54"/>
      <c r="K357" s="60"/>
      <c r="L357" s="53"/>
      <c r="P357" s="91"/>
      <c r="Q357" s="92"/>
      <c r="R357" s="93"/>
      <c r="S357" s="93"/>
      <c r="T357" s="53"/>
      <c r="U357" s="53"/>
    </row>
    <row r="358">
      <c r="A358" s="231"/>
      <c r="C358" s="232"/>
      <c r="D358" s="231"/>
      <c r="E358" s="56"/>
      <c r="F358" s="109"/>
      <c r="G358" s="53"/>
      <c r="H358" s="53"/>
      <c r="I358" s="53"/>
      <c r="J358" s="54"/>
      <c r="K358" s="60"/>
      <c r="L358" s="53"/>
      <c r="P358" s="91"/>
      <c r="Q358" s="92"/>
      <c r="R358" s="93"/>
      <c r="S358" s="93"/>
      <c r="T358" s="53"/>
      <c r="U358" s="53"/>
    </row>
    <row r="359">
      <c r="A359" s="231"/>
      <c r="C359" s="232"/>
      <c r="D359" s="231"/>
      <c r="E359" s="56"/>
      <c r="F359" s="109"/>
      <c r="G359" s="53"/>
      <c r="H359" s="53"/>
      <c r="I359" s="53"/>
      <c r="J359" s="54"/>
      <c r="K359" s="60"/>
      <c r="L359" s="53"/>
      <c r="P359" s="91"/>
      <c r="Q359" s="92"/>
      <c r="R359" s="93"/>
      <c r="S359" s="93"/>
      <c r="T359" s="53"/>
      <c r="U359" s="53"/>
    </row>
    <row r="360">
      <c r="A360" s="231"/>
      <c r="C360" s="232"/>
      <c r="D360" s="231"/>
      <c r="E360" s="56"/>
      <c r="F360" s="109"/>
      <c r="G360" s="53"/>
      <c r="H360" s="53"/>
      <c r="I360" s="53"/>
      <c r="J360" s="54"/>
      <c r="K360" s="60"/>
      <c r="L360" s="53"/>
      <c r="P360" s="91"/>
      <c r="Q360" s="92"/>
      <c r="R360" s="93"/>
      <c r="S360" s="93"/>
      <c r="T360" s="53"/>
      <c r="U360" s="53"/>
    </row>
    <row r="361">
      <c r="A361" s="231"/>
      <c r="C361" s="232"/>
      <c r="D361" s="231"/>
      <c r="E361" s="56"/>
      <c r="F361" s="109"/>
      <c r="G361" s="53"/>
      <c r="H361" s="53"/>
      <c r="I361" s="53"/>
      <c r="J361" s="54"/>
      <c r="K361" s="60"/>
      <c r="L361" s="53"/>
      <c r="P361" s="91"/>
      <c r="Q361" s="92"/>
      <c r="R361" s="93"/>
      <c r="S361" s="93"/>
      <c r="T361" s="53"/>
      <c r="U361" s="53"/>
    </row>
    <row r="362">
      <c r="A362" s="231"/>
      <c r="C362" s="232"/>
      <c r="D362" s="231"/>
      <c r="E362" s="56"/>
      <c r="F362" s="109"/>
      <c r="G362" s="53"/>
      <c r="H362" s="53"/>
      <c r="I362" s="53"/>
      <c r="J362" s="54"/>
      <c r="K362" s="60"/>
      <c r="L362" s="53"/>
      <c r="P362" s="91"/>
      <c r="Q362" s="92"/>
      <c r="R362" s="93"/>
      <c r="S362" s="93"/>
      <c r="T362" s="53"/>
      <c r="U362" s="53"/>
    </row>
    <row r="363">
      <c r="A363" s="231"/>
      <c r="C363" s="232"/>
      <c r="D363" s="231"/>
      <c r="E363" s="56"/>
      <c r="F363" s="109"/>
      <c r="G363" s="53"/>
      <c r="H363" s="53"/>
      <c r="I363" s="53"/>
      <c r="J363" s="54"/>
      <c r="K363" s="60"/>
      <c r="L363" s="53"/>
      <c r="P363" s="91"/>
      <c r="Q363" s="92"/>
      <c r="R363" s="93"/>
      <c r="S363" s="93"/>
      <c r="T363" s="53"/>
      <c r="U363" s="53"/>
    </row>
    <row r="364">
      <c r="A364" s="231"/>
      <c r="C364" s="232"/>
      <c r="D364" s="231"/>
      <c r="E364" s="56"/>
      <c r="F364" s="109"/>
      <c r="G364" s="53"/>
      <c r="H364" s="53"/>
      <c r="I364" s="53"/>
      <c r="J364" s="54"/>
      <c r="K364" s="60"/>
      <c r="L364" s="53"/>
      <c r="P364" s="91"/>
      <c r="Q364" s="92"/>
      <c r="R364" s="93"/>
      <c r="S364" s="93"/>
      <c r="T364" s="53"/>
      <c r="U364" s="53"/>
    </row>
    <row r="365">
      <c r="A365" s="231"/>
      <c r="C365" s="232"/>
      <c r="D365" s="231"/>
      <c r="E365" s="56"/>
      <c r="F365" s="109"/>
      <c r="G365" s="53"/>
      <c r="H365" s="53"/>
      <c r="I365" s="53"/>
      <c r="J365" s="54"/>
      <c r="K365" s="60"/>
      <c r="L365" s="53"/>
      <c r="P365" s="91"/>
      <c r="Q365" s="92"/>
      <c r="R365" s="93"/>
      <c r="S365" s="93"/>
      <c r="T365" s="53"/>
      <c r="U365" s="53"/>
    </row>
    <row r="366">
      <c r="A366" s="231"/>
      <c r="C366" s="232"/>
      <c r="D366" s="231"/>
      <c r="E366" s="56"/>
      <c r="F366" s="109"/>
      <c r="G366" s="53"/>
      <c r="H366" s="53"/>
      <c r="I366" s="53"/>
      <c r="J366" s="54"/>
      <c r="K366" s="60"/>
      <c r="L366" s="53"/>
      <c r="P366" s="91"/>
      <c r="Q366" s="92"/>
      <c r="R366" s="93"/>
      <c r="S366" s="93"/>
      <c r="T366" s="53"/>
      <c r="U366" s="53"/>
    </row>
    <row r="367">
      <c r="A367" s="231"/>
      <c r="C367" s="232"/>
      <c r="D367" s="231"/>
      <c r="E367" s="56"/>
      <c r="F367" s="109"/>
      <c r="G367" s="53"/>
      <c r="H367" s="53"/>
      <c r="I367" s="53"/>
      <c r="J367" s="54"/>
      <c r="K367" s="60"/>
      <c r="L367" s="53"/>
      <c r="P367" s="91"/>
      <c r="Q367" s="92"/>
      <c r="R367" s="93"/>
      <c r="S367" s="93"/>
      <c r="T367" s="53"/>
      <c r="U367" s="53"/>
    </row>
    <row r="368">
      <c r="A368" s="231"/>
      <c r="C368" s="232"/>
      <c r="D368" s="231"/>
      <c r="E368" s="56"/>
      <c r="F368" s="109"/>
      <c r="G368" s="53"/>
      <c r="H368" s="53"/>
      <c r="I368" s="53"/>
      <c r="J368" s="54"/>
      <c r="K368" s="60"/>
      <c r="L368" s="53"/>
      <c r="P368" s="91"/>
      <c r="Q368" s="92"/>
      <c r="R368" s="93"/>
      <c r="S368" s="93"/>
      <c r="T368" s="53"/>
      <c r="U368" s="53"/>
    </row>
    <row r="369">
      <c r="A369" s="231"/>
      <c r="C369" s="232"/>
      <c r="D369" s="231"/>
      <c r="E369" s="56"/>
      <c r="F369" s="109"/>
      <c r="G369" s="53"/>
      <c r="H369" s="53"/>
      <c r="I369" s="53"/>
      <c r="J369" s="54"/>
      <c r="K369" s="60"/>
      <c r="L369" s="53"/>
      <c r="P369" s="91"/>
      <c r="Q369" s="92"/>
      <c r="R369" s="93"/>
      <c r="S369" s="93"/>
      <c r="T369" s="53"/>
      <c r="U369" s="53"/>
    </row>
    <row r="370">
      <c r="A370" s="231"/>
      <c r="C370" s="232"/>
      <c r="D370" s="231"/>
      <c r="E370" s="56"/>
      <c r="F370" s="109"/>
      <c r="G370" s="53"/>
      <c r="H370" s="53"/>
      <c r="I370" s="53"/>
      <c r="J370" s="54"/>
      <c r="K370" s="60"/>
      <c r="L370" s="53"/>
      <c r="P370" s="91"/>
      <c r="Q370" s="92"/>
      <c r="R370" s="93"/>
      <c r="S370" s="93"/>
      <c r="T370" s="53"/>
      <c r="U370" s="53"/>
    </row>
    <row r="371">
      <c r="A371" s="231"/>
      <c r="C371" s="232"/>
      <c r="D371" s="231"/>
      <c r="E371" s="56"/>
      <c r="F371" s="109"/>
      <c r="G371" s="53"/>
      <c r="H371" s="53"/>
      <c r="I371" s="53"/>
      <c r="J371" s="54"/>
      <c r="K371" s="60"/>
      <c r="L371" s="53"/>
      <c r="P371" s="91"/>
      <c r="Q371" s="92"/>
      <c r="R371" s="93"/>
      <c r="S371" s="93"/>
      <c r="T371" s="53"/>
      <c r="U371" s="53"/>
    </row>
    <row r="372">
      <c r="A372" s="231"/>
      <c r="C372" s="232"/>
      <c r="D372" s="231"/>
      <c r="E372" s="56"/>
      <c r="F372" s="109"/>
      <c r="G372" s="53"/>
      <c r="H372" s="53"/>
      <c r="I372" s="53"/>
      <c r="J372" s="54"/>
      <c r="K372" s="60"/>
      <c r="L372" s="53"/>
      <c r="P372" s="91"/>
      <c r="Q372" s="92"/>
      <c r="R372" s="93"/>
      <c r="S372" s="93"/>
      <c r="T372" s="53"/>
      <c r="U372" s="53"/>
    </row>
    <row r="373">
      <c r="A373" s="231"/>
      <c r="C373" s="232"/>
      <c r="D373" s="231"/>
      <c r="E373" s="56"/>
      <c r="F373" s="109"/>
      <c r="G373" s="53"/>
      <c r="H373" s="53"/>
      <c r="I373" s="53"/>
      <c r="J373" s="54"/>
      <c r="K373" s="60"/>
      <c r="L373" s="53"/>
      <c r="P373" s="91"/>
      <c r="Q373" s="92"/>
      <c r="R373" s="93"/>
      <c r="S373" s="93"/>
      <c r="T373" s="53"/>
      <c r="U373" s="53"/>
    </row>
    <row r="374">
      <c r="A374" s="231"/>
      <c r="C374" s="232"/>
      <c r="D374" s="231"/>
      <c r="E374" s="56"/>
      <c r="F374" s="109"/>
      <c r="G374" s="53"/>
      <c r="H374" s="53"/>
      <c r="I374" s="53"/>
      <c r="J374" s="54"/>
      <c r="K374" s="60"/>
      <c r="L374" s="53"/>
      <c r="P374" s="91"/>
      <c r="Q374" s="92"/>
      <c r="R374" s="93"/>
      <c r="S374" s="93"/>
      <c r="T374" s="53"/>
      <c r="U374" s="53"/>
    </row>
    <row r="375">
      <c r="A375" s="231"/>
      <c r="C375" s="232"/>
      <c r="D375" s="231"/>
      <c r="E375" s="56"/>
      <c r="F375" s="109"/>
      <c r="G375" s="53"/>
      <c r="H375" s="53"/>
      <c r="I375" s="53"/>
      <c r="J375" s="54"/>
      <c r="K375" s="60"/>
      <c r="L375" s="53"/>
      <c r="P375" s="91"/>
      <c r="Q375" s="92"/>
      <c r="R375" s="93"/>
      <c r="S375" s="93"/>
      <c r="T375" s="53"/>
      <c r="U375" s="53"/>
    </row>
    <row r="376">
      <c r="A376" s="231"/>
      <c r="C376" s="232"/>
      <c r="D376" s="231"/>
      <c r="E376" s="56"/>
      <c r="F376" s="109"/>
      <c r="G376" s="53"/>
      <c r="H376" s="53"/>
      <c r="I376" s="53"/>
      <c r="J376" s="54"/>
      <c r="K376" s="60"/>
      <c r="L376" s="53"/>
      <c r="P376" s="91"/>
      <c r="Q376" s="92"/>
      <c r="R376" s="93"/>
      <c r="S376" s="93"/>
      <c r="T376" s="53"/>
      <c r="U376" s="53"/>
    </row>
    <row r="377">
      <c r="A377" s="231"/>
      <c r="C377" s="232"/>
      <c r="D377" s="231"/>
      <c r="E377" s="56"/>
      <c r="F377" s="109"/>
      <c r="G377" s="53"/>
      <c r="H377" s="53"/>
      <c r="I377" s="53"/>
      <c r="J377" s="54"/>
      <c r="K377" s="60"/>
      <c r="L377" s="53"/>
      <c r="P377" s="91"/>
      <c r="Q377" s="92"/>
      <c r="R377" s="93"/>
      <c r="S377" s="93"/>
      <c r="T377" s="53"/>
      <c r="U377" s="53"/>
    </row>
    <row r="378">
      <c r="A378" s="231"/>
      <c r="C378" s="232"/>
      <c r="D378" s="231"/>
      <c r="E378" s="56"/>
      <c r="F378" s="109"/>
      <c r="G378" s="53"/>
      <c r="H378" s="53"/>
      <c r="I378" s="53"/>
      <c r="J378" s="54"/>
      <c r="K378" s="60"/>
      <c r="L378" s="53"/>
      <c r="P378" s="91"/>
      <c r="Q378" s="92"/>
      <c r="R378" s="93"/>
      <c r="S378" s="93"/>
      <c r="T378" s="53"/>
      <c r="U378" s="53"/>
    </row>
    <row r="379">
      <c r="A379" s="231"/>
      <c r="C379" s="232"/>
      <c r="D379" s="231"/>
      <c r="E379" s="56"/>
      <c r="F379" s="109"/>
      <c r="G379" s="53"/>
      <c r="H379" s="53"/>
      <c r="I379" s="53"/>
      <c r="J379" s="54"/>
      <c r="K379" s="60"/>
      <c r="L379" s="53"/>
      <c r="P379" s="91"/>
      <c r="Q379" s="92"/>
      <c r="R379" s="93"/>
      <c r="S379" s="93"/>
      <c r="T379" s="53"/>
      <c r="U379" s="53"/>
    </row>
    <row r="380">
      <c r="A380" s="231"/>
      <c r="C380" s="232"/>
      <c r="D380" s="231"/>
      <c r="E380" s="56"/>
      <c r="F380" s="109"/>
      <c r="G380" s="53"/>
      <c r="H380" s="53"/>
      <c r="I380" s="53"/>
      <c r="J380" s="54"/>
      <c r="K380" s="60"/>
      <c r="L380" s="53"/>
      <c r="P380" s="91"/>
      <c r="Q380" s="92"/>
      <c r="R380" s="93"/>
      <c r="S380" s="93"/>
      <c r="T380" s="53"/>
      <c r="U380" s="53"/>
    </row>
    <row r="381">
      <c r="A381" s="231"/>
      <c r="C381" s="232"/>
      <c r="D381" s="231"/>
      <c r="E381" s="56"/>
      <c r="F381" s="109"/>
      <c r="G381" s="53"/>
      <c r="H381" s="53"/>
      <c r="I381" s="53"/>
      <c r="J381" s="54"/>
      <c r="K381" s="60"/>
      <c r="L381" s="53"/>
      <c r="P381" s="91"/>
      <c r="Q381" s="92"/>
      <c r="R381" s="93"/>
      <c r="S381" s="93"/>
      <c r="T381" s="53"/>
      <c r="U381" s="53"/>
    </row>
    <row r="382">
      <c r="A382" s="231"/>
      <c r="C382" s="232"/>
      <c r="D382" s="231"/>
      <c r="E382" s="56"/>
      <c r="F382" s="109"/>
      <c r="G382" s="53"/>
      <c r="H382" s="53"/>
      <c r="I382" s="53"/>
      <c r="J382" s="54"/>
      <c r="K382" s="60"/>
      <c r="L382" s="53"/>
      <c r="P382" s="91"/>
      <c r="Q382" s="92"/>
      <c r="R382" s="93"/>
      <c r="S382" s="93"/>
      <c r="T382" s="53"/>
      <c r="U382" s="53"/>
    </row>
    <row r="383">
      <c r="A383" s="231"/>
      <c r="C383" s="232"/>
      <c r="D383" s="231"/>
      <c r="E383" s="56"/>
      <c r="F383" s="109"/>
      <c r="G383" s="53"/>
      <c r="H383" s="53"/>
      <c r="I383" s="53"/>
      <c r="J383" s="54"/>
      <c r="K383" s="60"/>
      <c r="L383" s="53"/>
      <c r="P383" s="91"/>
      <c r="Q383" s="92"/>
      <c r="R383" s="93"/>
      <c r="S383" s="93"/>
      <c r="T383" s="53"/>
      <c r="U383" s="53"/>
    </row>
    <row r="384">
      <c r="A384" s="231"/>
      <c r="C384" s="232"/>
      <c r="D384" s="231"/>
      <c r="E384" s="56"/>
      <c r="F384" s="109"/>
      <c r="G384" s="53"/>
      <c r="H384" s="53"/>
      <c r="I384" s="53"/>
      <c r="J384" s="54"/>
      <c r="K384" s="60"/>
      <c r="L384" s="53"/>
      <c r="P384" s="91"/>
      <c r="Q384" s="92"/>
      <c r="R384" s="93"/>
      <c r="S384" s="93"/>
      <c r="T384" s="53"/>
      <c r="U384" s="53"/>
    </row>
    <row r="385">
      <c r="A385" s="231"/>
      <c r="C385" s="232"/>
      <c r="D385" s="231"/>
      <c r="E385" s="56"/>
      <c r="F385" s="109"/>
      <c r="G385" s="53"/>
      <c r="H385" s="53"/>
      <c r="I385" s="53"/>
      <c r="J385" s="54"/>
      <c r="K385" s="60"/>
      <c r="L385" s="53"/>
      <c r="P385" s="91"/>
      <c r="Q385" s="92"/>
      <c r="R385" s="93"/>
      <c r="S385" s="93"/>
      <c r="T385" s="53"/>
      <c r="U385" s="53"/>
    </row>
    <row r="386">
      <c r="A386" s="231"/>
      <c r="C386" s="232"/>
      <c r="D386" s="231"/>
      <c r="E386" s="56"/>
      <c r="F386" s="109"/>
      <c r="G386" s="53"/>
      <c r="H386" s="53"/>
      <c r="I386" s="53"/>
      <c r="J386" s="54"/>
      <c r="K386" s="60"/>
      <c r="L386" s="53"/>
      <c r="P386" s="91"/>
      <c r="Q386" s="92"/>
      <c r="R386" s="93"/>
      <c r="S386" s="93"/>
      <c r="T386" s="53"/>
      <c r="U386" s="53"/>
    </row>
    <row r="387">
      <c r="A387" s="231"/>
      <c r="C387" s="232"/>
      <c r="D387" s="231"/>
      <c r="E387" s="56"/>
      <c r="F387" s="109"/>
      <c r="G387" s="53"/>
      <c r="H387" s="53"/>
      <c r="I387" s="53"/>
      <c r="J387" s="54"/>
      <c r="K387" s="60"/>
      <c r="L387" s="53"/>
      <c r="P387" s="91"/>
      <c r="Q387" s="92"/>
      <c r="R387" s="93"/>
      <c r="S387" s="93"/>
      <c r="T387" s="53"/>
      <c r="U387" s="53"/>
    </row>
    <row r="388">
      <c r="A388" s="231"/>
      <c r="C388" s="232"/>
      <c r="D388" s="231"/>
      <c r="E388" s="56"/>
      <c r="F388" s="109"/>
      <c r="G388" s="53"/>
      <c r="H388" s="53"/>
      <c r="I388" s="53"/>
      <c r="J388" s="54"/>
      <c r="K388" s="60"/>
      <c r="L388" s="53"/>
      <c r="P388" s="91"/>
      <c r="Q388" s="92"/>
      <c r="R388" s="93"/>
      <c r="S388" s="93"/>
      <c r="T388" s="53"/>
      <c r="U388" s="53"/>
    </row>
    <row r="389">
      <c r="A389" s="231"/>
      <c r="C389" s="232"/>
      <c r="D389" s="231"/>
      <c r="E389" s="56"/>
      <c r="F389" s="109"/>
      <c r="G389" s="53"/>
      <c r="H389" s="53"/>
      <c r="I389" s="53"/>
      <c r="J389" s="54"/>
      <c r="K389" s="60"/>
      <c r="L389" s="53"/>
      <c r="P389" s="91"/>
      <c r="Q389" s="92"/>
      <c r="R389" s="93"/>
      <c r="S389" s="93"/>
      <c r="T389" s="53"/>
      <c r="U389" s="53"/>
    </row>
    <row r="390">
      <c r="A390" s="231"/>
      <c r="C390" s="232"/>
      <c r="D390" s="231"/>
      <c r="E390" s="56"/>
      <c r="F390" s="109"/>
      <c r="G390" s="53"/>
      <c r="H390" s="53"/>
      <c r="I390" s="53"/>
      <c r="J390" s="54"/>
      <c r="K390" s="60"/>
      <c r="L390" s="53"/>
      <c r="P390" s="91"/>
      <c r="Q390" s="92"/>
      <c r="R390" s="93"/>
      <c r="S390" s="93"/>
      <c r="T390" s="53"/>
      <c r="U390" s="53"/>
    </row>
    <row r="391">
      <c r="A391" s="231"/>
      <c r="C391" s="232"/>
      <c r="D391" s="231"/>
      <c r="E391" s="56"/>
      <c r="F391" s="109"/>
      <c r="G391" s="53"/>
      <c r="H391" s="53"/>
      <c r="I391" s="53"/>
      <c r="J391" s="54"/>
      <c r="K391" s="60"/>
      <c r="L391" s="53"/>
      <c r="P391" s="91"/>
      <c r="Q391" s="92"/>
      <c r="R391" s="93"/>
      <c r="S391" s="93"/>
      <c r="T391" s="53"/>
      <c r="U391" s="53"/>
    </row>
    <row r="392">
      <c r="A392" s="231"/>
      <c r="C392" s="232"/>
      <c r="D392" s="231"/>
      <c r="E392" s="56"/>
      <c r="F392" s="109"/>
      <c r="G392" s="53"/>
      <c r="H392" s="53"/>
      <c r="I392" s="53"/>
      <c r="J392" s="54"/>
      <c r="K392" s="60"/>
      <c r="L392" s="53"/>
      <c r="P392" s="91"/>
      <c r="Q392" s="92"/>
      <c r="R392" s="93"/>
      <c r="S392" s="93"/>
      <c r="T392" s="53"/>
      <c r="U392" s="53"/>
    </row>
    <row r="393">
      <c r="A393" s="231"/>
      <c r="C393" s="232"/>
      <c r="D393" s="231"/>
      <c r="E393" s="56"/>
      <c r="F393" s="109"/>
      <c r="G393" s="53"/>
      <c r="H393" s="53"/>
      <c r="I393" s="53"/>
      <c r="J393" s="54"/>
      <c r="K393" s="60"/>
      <c r="L393" s="53"/>
      <c r="P393" s="91"/>
      <c r="Q393" s="92"/>
      <c r="R393" s="93"/>
      <c r="S393" s="93"/>
      <c r="T393" s="53"/>
      <c r="U393" s="53"/>
    </row>
    <row r="394">
      <c r="A394" s="231"/>
      <c r="C394" s="232"/>
      <c r="D394" s="231"/>
      <c r="E394" s="56"/>
      <c r="F394" s="109"/>
      <c r="G394" s="53"/>
      <c r="H394" s="53"/>
      <c r="I394" s="53"/>
      <c r="J394" s="54"/>
      <c r="K394" s="60"/>
      <c r="L394" s="53"/>
      <c r="P394" s="91"/>
      <c r="Q394" s="92"/>
      <c r="R394" s="93"/>
      <c r="S394" s="93"/>
      <c r="T394" s="53"/>
      <c r="U394" s="53"/>
    </row>
    <row r="395">
      <c r="A395" s="231"/>
      <c r="C395" s="232"/>
      <c r="D395" s="231"/>
      <c r="E395" s="56"/>
      <c r="F395" s="109"/>
      <c r="G395" s="53"/>
      <c r="H395" s="53"/>
      <c r="I395" s="53"/>
      <c r="J395" s="54"/>
      <c r="K395" s="60"/>
      <c r="L395" s="53"/>
      <c r="P395" s="91"/>
      <c r="Q395" s="92"/>
      <c r="R395" s="93"/>
      <c r="S395" s="93"/>
      <c r="T395" s="53"/>
      <c r="U395" s="53"/>
    </row>
    <row r="396">
      <c r="A396" s="231"/>
      <c r="C396" s="232"/>
      <c r="D396" s="231"/>
      <c r="E396" s="56"/>
      <c r="F396" s="109"/>
      <c r="G396" s="53"/>
      <c r="H396" s="53"/>
      <c r="I396" s="53"/>
      <c r="J396" s="54"/>
      <c r="K396" s="60"/>
      <c r="L396" s="53"/>
      <c r="P396" s="91"/>
      <c r="Q396" s="92"/>
      <c r="R396" s="93"/>
      <c r="S396" s="93"/>
      <c r="T396" s="53"/>
      <c r="U396" s="53"/>
    </row>
    <row r="397">
      <c r="A397" s="231"/>
      <c r="C397" s="232"/>
      <c r="D397" s="231"/>
      <c r="E397" s="56"/>
      <c r="F397" s="109"/>
      <c r="G397" s="53"/>
      <c r="H397" s="53"/>
      <c r="I397" s="53"/>
      <c r="J397" s="54"/>
      <c r="K397" s="60"/>
      <c r="L397" s="53"/>
      <c r="P397" s="91"/>
      <c r="Q397" s="92"/>
      <c r="R397" s="93"/>
      <c r="S397" s="93"/>
      <c r="T397" s="53"/>
      <c r="U397" s="53"/>
    </row>
    <row r="398">
      <c r="A398" s="231"/>
      <c r="C398" s="232"/>
      <c r="D398" s="231"/>
      <c r="E398" s="56"/>
      <c r="F398" s="109"/>
      <c r="G398" s="53"/>
      <c r="H398" s="53"/>
      <c r="I398" s="53"/>
      <c r="J398" s="54"/>
      <c r="K398" s="60"/>
      <c r="L398" s="53"/>
      <c r="P398" s="91"/>
      <c r="Q398" s="92"/>
      <c r="R398" s="93"/>
      <c r="S398" s="93"/>
      <c r="T398" s="53"/>
      <c r="U398" s="53"/>
    </row>
    <row r="399">
      <c r="A399" s="231"/>
      <c r="C399" s="232"/>
      <c r="D399" s="231"/>
      <c r="E399" s="56"/>
      <c r="F399" s="109"/>
      <c r="G399" s="53"/>
      <c r="H399" s="53"/>
      <c r="I399" s="53"/>
      <c r="J399" s="54"/>
      <c r="K399" s="60"/>
      <c r="L399" s="53"/>
      <c r="P399" s="91"/>
      <c r="Q399" s="92"/>
      <c r="R399" s="93"/>
      <c r="S399" s="93"/>
      <c r="T399" s="53"/>
      <c r="U399" s="53"/>
    </row>
    <row r="400">
      <c r="A400" s="231"/>
      <c r="C400" s="232"/>
      <c r="D400" s="231"/>
      <c r="E400" s="56"/>
      <c r="F400" s="109"/>
      <c r="G400" s="53"/>
      <c r="H400" s="53"/>
      <c r="I400" s="53"/>
      <c r="J400" s="54"/>
      <c r="K400" s="60"/>
      <c r="L400" s="53"/>
      <c r="P400" s="91"/>
      <c r="Q400" s="92"/>
      <c r="R400" s="93"/>
      <c r="S400" s="93"/>
      <c r="T400" s="53"/>
      <c r="U400" s="53"/>
    </row>
    <row r="401">
      <c r="A401" s="231"/>
      <c r="C401" s="232"/>
      <c r="D401" s="231"/>
      <c r="E401" s="56"/>
      <c r="F401" s="109"/>
      <c r="G401" s="53"/>
      <c r="H401" s="53"/>
      <c r="I401" s="53"/>
      <c r="J401" s="54"/>
      <c r="K401" s="60"/>
      <c r="L401" s="53"/>
      <c r="P401" s="91"/>
      <c r="Q401" s="92"/>
      <c r="R401" s="93"/>
      <c r="S401" s="93"/>
      <c r="T401" s="53"/>
      <c r="U401" s="53"/>
    </row>
    <row r="402">
      <c r="A402" s="231"/>
      <c r="C402" s="232"/>
      <c r="D402" s="231"/>
      <c r="E402" s="56"/>
      <c r="F402" s="109"/>
      <c r="G402" s="53"/>
      <c r="H402" s="53"/>
      <c r="I402" s="53"/>
      <c r="J402" s="54"/>
      <c r="K402" s="60"/>
      <c r="L402" s="53"/>
      <c r="P402" s="91"/>
      <c r="Q402" s="92"/>
      <c r="R402" s="93"/>
      <c r="S402" s="93"/>
      <c r="T402" s="53"/>
      <c r="U402" s="53"/>
    </row>
    <row r="403">
      <c r="A403" s="231"/>
      <c r="C403" s="232"/>
      <c r="D403" s="231"/>
      <c r="E403" s="56"/>
      <c r="F403" s="109"/>
      <c r="G403" s="53"/>
      <c r="H403" s="53"/>
      <c r="I403" s="53"/>
      <c r="J403" s="54"/>
      <c r="K403" s="60"/>
      <c r="L403" s="53"/>
      <c r="P403" s="91"/>
      <c r="Q403" s="92"/>
      <c r="R403" s="93"/>
      <c r="S403" s="93"/>
      <c r="T403" s="53"/>
      <c r="U403" s="53"/>
    </row>
    <row r="404">
      <c r="A404" s="231"/>
      <c r="C404" s="232"/>
      <c r="D404" s="231"/>
      <c r="E404" s="56"/>
      <c r="F404" s="109"/>
      <c r="G404" s="53"/>
      <c r="H404" s="53"/>
      <c r="I404" s="53"/>
      <c r="J404" s="54"/>
      <c r="K404" s="60"/>
      <c r="L404" s="53"/>
      <c r="P404" s="91"/>
      <c r="Q404" s="92"/>
      <c r="R404" s="93"/>
      <c r="S404" s="93"/>
      <c r="T404" s="53"/>
      <c r="U404" s="53"/>
    </row>
    <row r="405">
      <c r="A405" s="231"/>
      <c r="C405" s="232"/>
      <c r="D405" s="231"/>
      <c r="E405" s="56"/>
      <c r="F405" s="109"/>
      <c r="G405" s="53"/>
      <c r="H405" s="53"/>
      <c r="I405" s="53"/>
      <c r="J405" s="54"/>
      <c r="K405" s="60"/>
      <c r="L405" s="53"/>
      <c r="P405" s="91"/>
      <c r="Q405" s="92"/>
      <c r="R405" s="93"/>
      <c r="S405" s="93"/>
      <c r="T405" s="53"/>
      <c r="U405" s="53"/>
    </row>
    <row r="406">
      <c r="A406" s="231"/>
      <c r="C406" s="232"/>
      <c r="D406" s="231"/>
      <c r="E406" s="56"/>
      <c r="F406" s="109"/>
      <c r="G406" s="53"/>
      <c r="H406" s="53"/>
      <c r="I406" s="53"/>
      <c r="J406" s="54"/>
      <c r="K406" s="60"/>
      <c r="L406" s="53"/>
      <c r="P406" s="91"/>
      <c r="Q406" s="92"/>
      <c r="R406" s="93"/>
      <c r="S406" s="93"/>
      <c r="T406" s="53"/>
      <c r="U406" s="53"/>
    </row>
    <row r="407">
      <c r="A407" s="231"/>
      <c r="C407" s="232"/>
      <c r="D407" s="231"/>
      <c r="E407" s="56"/>
      <c r="F407" s="109"/>
      <c r="G407" s="53"/>
      <c r="H407" s="53"/>
      <c r="I407" s="53"/>
      <c r="J407" s="54"/>
      <c r="K407" s="60"/>
      <c r="L407" s="53"/>
      <c r="P407" s="91"/>
      <c r="Q407" s="92"/>
      <c r="R407" s="93"/>
      <c r="S407" s="93"/>
      <c r="T407" s="53"/>
      <c r="U407" s="53"/>
    </row>
    <row r="408">
      <c r="A408" s="231"/>
      <c r="C408" s="232"/>
      <c r="D408" s="231"/>
      <c r="E408" s="56"/>
      <c r="F408" s="109"/>
      <c r="G408" s="53"/>
      <c r="H408" s="53"/>
      <c r="I408" s="53"/>
      <c r="J408" s="54"/>
      <c r="K408" s="60"/>
      <c r="L408" s="53"/>
      <c r="P408" s="91"/>
      <c r="Q408" s="92"/>
      <c r="R408" s="93"/>
      <c r="S408" s="93"/>
      <c r="T408" s="53"/>
      <c r="U408" s="53"/>
    </row>
    <row r="409">
      <c r="A409" s="231"/>
      <c r="C409" s="232"/>
      <c r="D409" s="231"/>
      <c r="E409" s="56"/>
      <c r="F409" s="109"/>
      <c r="G409" s="53"/>
      <c r="H409" s="53"/>
      <c r="I409" s="53"/>
      <c r="J409" s="54"/>
      <c r="K409" s="60"/>
      <c r="L409" s="53"/>
      <c r="P409" s="91"/>
      <c r="Q409" s="92"/>
      <c r="R409" s="93"/>
      <c r="S409" s="93"/>
      <c r="T409" s="53"/>
      <c r="U409" s="53"/>
    </row>
    <row r="410">
      <c r="A410" s="231"/>
      <c r="C410" s="232"/>
      <c r="D410" s="231"/>
      <c r="E410" s="56"/>
      <c r="F410" s="109"/>
      <c r="G410" s="53"/>
      <c r="H410" s="53"/>
      <c r="I410" s="53"/>
      <c r="J410" s="54"/>
      <c r="K410" s="60"/>
      <c r="L410" s="53"/>
      <c r="P410" s="91"/>
      <c r="Q410" s="92"/>
      <c r="R410" s="93"/>
      <c r="S410" s="93"/>
      <c r="T410" s="53"/>
      <c r="U410" s="53"/>
    </row>
    <row r="411">
      <c r="A411" s="231"/>
      <c r="C411" s="232"/>
      <c r="D411" s="231"/>
      <c r="E411" s="56"/>
      <c r="F411" s="109"/>
      <c r="G411" s="53"/>
      <c r="H411" s="53"/>
      <c r="I411" s="53"/>
      <c r="J411" s="54"/>
      <c r="K411" s="60"/>
      <c r="L411" s="53"/>
      <c r="P411" s="91"/>
      <c r="Q411" s="92"/>
      <c r="R411" s="93"/>
      <c r="S411" s="93"/>
      <c r="T411" s="53"/>
      <c r="U411" s="53"/>
    </row>
    <row r="412">
      <c r="A412" s="231"/>
      <c r="C412" s="232"/>
      <c r="D412" s="231"/>
      <c r="E412" s="56"/>
      <c r="F412" s="109"/>
      <c r="G412" s="53"/>
      <c r="H412" s="53"/>
      <c r="I412" s="53"/>
      <c r="J412" s="54"/>
      <c r="K412" s="60"/>
      <c r="L412" s="53"/>
      <c r="P412" s="91"/>
      <c r="Q412" s="92"/>
      <c r="R412" s="93"/>
      <c r="S412" s="93"/>
      <c r="T412" s="53"/>
      <c r="U412" s="53"/>
    </row>
    <row r="413">
      <c r="A413" s="231"/>
      <c r="C413" s="232"/>
      <c r="D413" s="231"/>
      <c r="E413" s="56"/>
      <c r="F413" s="109"/>
      <c r="G413" s="53"/>
      <c r="H413" s="53"/>
      <c r="I413" s="53"/>
      <c r="J413" s="54"/>
      <c r="K413" s="60"/>
      <c r="L413" s="53"/>
      <c r="P413" s="91"/>
      <c r="Q413" s="92"/>
      <c r="R413" s="93"/>
      <c r="S413" s="93"/>
      <c r="T413" s="53"/>
      <c r="U413" s="53"/>
    </row>
    <row r="414">
      <c r="A414" s="231"/>
      <c r="C414" s="232"/>
      <c r="D414" s="231"/>
      <c r="E414" s="56"/>
      <c r="F414" s="109"/>
      <c r="G414" s="53"/>
      <c r="H414" s="53"/>
      <c r="I414" s="53"/>
      <c r="J414" s="54"/>
      <c r="K414" s="60"/>
      <c r="L414" s="53"/>
      <c r="P414" s="91"/>
      <c r="Q414" s="92"/>
      <c r="R414" s="93"/>
      <c r="S414" s="93"/>
      <c r="T414" s="53"/>
      <c r="U414" s="53"/>
    </row>
    <row r="415">
      <c r="A415" s="231"/>
      <c r="C415" s="232"/>
      <c r="D415" s="231"/>
      <c r="E415" s="56"/>
      <c r="F415" s="109"/>
      <c r="G415" s="53"/>
      <c r="H415" s="53"/>
      <c r="I415" s="53"/>
      <c r="J415" s="54"/>
      <c r="K415" s="60"/>
      <c r="L415" s="53"/>
      <c r="P415" s="91"/>
      <c r="Q415" s="92"/>
      <c r="R415" s="93"/>
      <c r="S415" s="93"/>
      <c r="T415" s="53"/>
      <c r="U415" s="53"/>
    </row>
    <row r="416">
      <c r="A416" s="231"/>
      <c r="C416" s="232"/>
      <c r="D416" s="231"/>
      <c r="E416" s="56"/>
      <c r="F416" s="109"/>
      <c r="G416" s="53"/>
      <c r="H416" s="53"/>
      <c r="I416" s="53"/>
      <c r="J416" s="54"/>
      <c r="K416" s="60"/>
      <c r="L416" s="53"/>
      <c r="P416" s="91"/>
      <c r="Q416" s="92"/>
      <c r="R416" s="93"/>
      <c r="S416" s="93"/>
      <c r="T416" s="53"/>
      <c r="U416" s="53"/>
    </row>
    <row r="417">
      <c r="A417" s="231"/>
      <c r="C417" s="232"/>
      <c r="D417" s="231"/>
      <c r="E417" s="56"/>
      <c r="F417" s="109"/>
      <c r="G417" s="53"/>
      <c r="H417" s="53"/>
      <c r="I417" s="53"/>
      <c r="J417" s="54"/>
      <c r="K417" s="60"/>
      <c r="L417" s="53"/>
      <c r="P417" s="91"/>
      <c r="Q417" s="92"/>
      <c r="R417" s="93"/>
      <c r="S417" s="93"/>
      <c r="T417" s="53"/>
      <c r="U417" s="53"/>
    </row>
    <row r="418">
      <c r="A418" s="231"/>
      <c r="C418" s="232"/>
      <c r="D418" s="231"/>
      <c r="E418" s="56"/>
      <c r="F418" s="109"/>
      <c r="G418" s="53"/>
      <c r="H418" s="53"/>
      <c r="I418" s="53"/>
      <c r="J418" s="54"/>
      <c r="K418" s="60"/>
      <c r="L418" s="53"/>
      <c r="P418" s="91"/>
      <c r="Q418" s="92"/>
      <c r="R418" s="93"/>
      <c r="S418" s="93"/>
      <c r="T418" s="53"/>
      <c r="U418" s="53"/>
    </row>
    <row r="419">
      <c r="A419" s="231"/>
      <c r="C419" s="232"/>
      <c r="D419" s="231"/>
      <c r="E419" s="56"/>
      <c r="F419" s="109"/>
      <c r="G419" s="53"/>
      <c r="H419" s="53"/>
      <c r="I419" s="53"/>
      <c r="J419" s="54"/>
      <c r="K419" s="60"/>
      <c r="L419" s="53"/>
      <c r="P419" s="91"/>
      <c r="Q419" s="92"/>
      <c r="R419" s="93"/>
      <c r="S419" s="93"/>
      <c r="T419" s="53"/>
      <c r="U419" s="53"/>
    </row>
    <row r="420">
      <c r="A420" s="231"/>
      <c r="C420" s="232"/>
      <c r="D420" s="231"/>
      <c r="E420" s="56"/>
      <c r="F420" s="109"/>
      <c r="G420" s="53"/>
      <c r="H420" s="53"/>
      <c r="I420" s="53"/>
      <c r="J420" s="54"/>
      <c r="K420" s="60"/>
      <c r="L420" s="53"/>
      <c r="P420" s="91"/>
      <c r="Q420" s="92"/>
      <c r="R420" s="93"/>
      <c r="S420" s="93"/>
      <c r="T420" s="53"/>
      <c r="U420" s="53"/>
    </row>
    <row r="421">
      <c r="A421" s="231"/>
      <c r="C421" s="232"/>
      <c r="D421" s="231"/>
      <c r="E421" s="56"/>
      <c r="F421" s="109"/>
      <c r="G421" s="53"/>
      <c r="H421" s="53"/>
      <c r="I421" s="53"/>
      <c r="J421" s="54"/>
      <c r="K421" s="60"/>
      <c r="L421" s="53"/>
      <c r="P421" s="91"/>
      <c r="Q421" s="92"/>
      <c r="R421" s="93"/>
      <c r="S421" s="93"/>
      <c r="T421" s="53"/>
      <c r="U421" s="53"/>
    </row>
    <row r="422">
      <c r="A422" s="231"/>
      <c r="C422" s="232"/>
      <c r="D422" s="231"/>
      <c r="E422" s="56"/>
      <c r="F422" s="109"/>
      <c r="G422" s="53"/>
      <c r="H422" s="53"/>
      <c r="I422" s="53"/>
      <c r="J422" s="54"/>
      <c r="K422" s="60"/>
      <c r="L422" s="53"/>
      <c r="P422" s="91"/>
      <c r="Q422" s="92"/>
      <c r="R422" s="93"/>
      <c r="S422" s="93"/>
      <c r="T422" s="53"/>
      <c r="U422" s="53"/>
    </row>
    <row r="423">
      <c r="A423" s="231"/>
      <c r="C423" s="232"/>
      <c r="D423" s="231"/>
      <c r="E423" s="56"/>
      <c r="F423" s="109"/>
      <c r="G423" s="53"/>
      <c r="H423" s="53"/>
      <c r="I423" s="53"/>
      <c r="J423" s="54"/>
      <c r="K423" s="60"/>
      <c r="L423" s="53"/>
      <c r="P423" s="91"/>
      <c r="Q423" s="92"/>
      <c r="R423" s="93"/>
      <c r="S423" s="93"/>
      <c r="T423" s="53"/>
      <c r="U423" s="53"/>
    </row>
    <row r="424">
      <c r="A424" s="231"/>
      <c r="C424" s="232"/>
      <c r="D424" s="231"/>
      <c r="E424" s="56"/>
      <c r="F424" s="109"/>
      <c r="G424" s="53"/>
      <c r="H424" s="53"/>
      <c r="I424" s="53"/>
      <c r="J424" s="54"/>
      <c r="K424" s="60"/>
      <c r="L424" s="53"/>
      <c r="P424" s="91"/>
      <c r="Q424" s="92"/>
      <c r="R424" s="93"/>
      <c r="S424" s="93"/>
      <c r="T424" s="53"/>
      <c r="U424" s="53"/>
    </row>
    <row r="425">
      <c r="A425" s="231"/>
      <c r="C425" s="232"/>
      <c r="D425" s="231"/>
      <c r="E425" s="56"/>
      <c r="F425" s="109"/>
      <c r="G425" s="53"/>
      <c r="H425" s="53"/>
      <c r="I425" s="53"/>
      <c r="J425" s="54"/>
      <c r="K425" s="60"/>
      <c r="L425" s="53"/>
      <c r="P425" s="91"/>
      <c r="Q425" s="92"/>
      <c r="R425" s="93"/>
      <c r="S425" s="93"/>
      <c r="T425" s="53"/>
      <c r="U425" s="53"/>
    </row>
    <row r="426">
      <c r="A426" s="231"/>
      <c r="C426" s="232"/>
      <c r="D426" s="231"/>
      <c r="E426" s="56"/>
      <c r="F426" s="109"/>
      <c r="G426" s="53"/>
      <c r="H426" s="53"/>
      <c r="I426" s="53"/>
      <c r="J426" s="54"/>
      <c r="K426" s="60"/>
      <c r="L426" s="53"/>
      <c r="P426" s="91"/>
      <c r="Q426" s="92"/>
      <c r="R426" s="93"/>
      <c r="S426" s="93"/>
      <c r="T426" s="53"/>
      <c r="U426" s="53"/>
    </row>
    <row r="427">
      <c r="A427" s="231"/>
      <c r="C427" s="232"/>
      <c r="D427" s="231"/>
      <c r="E427" s="56"/>
      <c r="F427" s="109"/>
      <c r="G427" s="53"/>
      <c r="H427" s="53"/>
      <c r="I427" s="53"/>
      <c r="J427" s="54"/>
      <c r="K427" s="60"/>
      <c r="L427" s="53"/>
      <c r="P427" s="91"/>
      <c r="Q427" s="92"/>
      <c r="R427" s="93"/>
      <c r="S427" s="93"/>
      <c r="T427" s="53"/>
      <c r="U427" s="53"/>
    </row>
    <row r="428">
      <c r="A428" s="231"/>
      <c r="C428" s="232"/>
      <c r="D428" s="231"/>
      <c r="E428" s="56"/>
      <c r="F428" s="109"/>
      <c r="G428" s="53"/>
      <c r="H428" s="53"/>
      <c r="I428" s="53"/>
      <c r="J428" s="54"/>
      <c r="K428" s="60"/>
      <c r="L428" s="53"/>
      <c r="P428" s="91"/>
      <c r="Q428" s="92"/>
      <c r="R428" s="93"/>
      <c r="S428" s="93"/>
      <c r="T428" s="53"/>
      <c r="U428" s="53"/>
    </row>
    <row r="429">
      <c r="A429" s="231"/>
      <c r="C429" s="232"/>
      <c r="D429" s="231"/>
      <c r="E429" s="56"/>
      <c r="F429" s="109"/>
      <c r="G429" s="53"/>
      <c r="H429" s="53"/>
      <c r="I429" s="53"/>
      <c r="J429" s="54"/>
      <c r="K429" s="60"/>
      <c r="L429" s="53"/>
      <c r="P429" s="91"/>
      <c r="Q429" s="92"/>
      <c r="R429" s="93"/>
      <c r="S429" s="93"/>
      <c r="T429" s="53"/>
      <c r="U429" s="53"/>
    </row>
    <row r="430">
      <c r="A430" s="231"/>
      <c r="C430" s="232"/>
      <c r="D430" s="231"/>
      <c r="E430" s="56"/>
      <c r="F430" s="109"/>
      <c r="G430" s="53"/>
      <c r="H430" s="53"/>
      <c r="I430" s="53"/>
      <c r="J430" s="54"/>
      <c r="K430" s="60"/>
      <c r="L430" s="53"/>
      <c r="P430" s="91"/>
      <c r="Q430" s="92"/>
      <c r="R430" s="93"/>
      <c r="S430" s="93"/>
      <c r="T430" s="53"/>
      <c r="U430" s="53"/>
    </row>
    <row r="431">
      <c r="A431" s="231"/>
      <c r="C431" s="232"/>
      <c r="D431" s="231"/>
      <c r="E431" s="56"/>
      <c r="F431" s="109"/>
      <c r="G431" s="53"/>
      <c r="H431" s="53"/>
      <c r="I431" s="53"/>
      <c r="J431" s="54"/>
      <c r="K431" s="60"/>
      <c r="L431" s="53"/>
      <c r="P431" s="91"/>
      <c r="Q431" s="92"/>
      <c r="R431" s="93"/>
      <c r="S431" s="93"/>
      <c r="T431" s="53"/>
      <c r="U431" s="53"/>
    </row>
    <row r="432">
      <c r="A432" s="231"/>
      <c r="C432" s="232"/>
      <c r="D432" s="231"/>
      <c r="E432" s="56"/>
      <c r="F432" s="109"/>
      <c r="G432" s="53"/>
      <c r="H432" s="53"/>
      <c r="I432" s="53"/>
      <c r="J432" s="54"/>
      <c r="K432" s="60"/>
      <c r="L432" s="53"/>
      <c r="P432" s="91"/>
      <c r="Q432" s="92"/>
      <c r="R432" s="93"/>
      <c r="S432" s="93"/>
      <c r="T432" s="53"/>
      <c r="U432" s="53"/>
    </row>
    <row r="433">
      <c r="A433" s="231"/>
      <c r="C433" s="232"/>
      <c r="D433" s="231"/>
      <c r="E433" s="56"/>
      <c r="F433" s="109"/>
      <c r="G433" s="53"/>
      <c r="H433" s="53"/>
      <c r="I433" s="53"/>
      <c r="J433" s="54"/>
      <c r="K433" s="60"/>
      <c r="L433" s="53"/>
      <c r="P433" s="91"/>
      <c r="Q433" s="92"/>
      <c r="R433" s="93"/>
      <c r="S433" s="93"/>
      <c r="T433" s="53"/>
      <c r="U433" s="53"/>
    </row>
    <row r="434">
      <c r="A434" s="231"/>
      <c r="C434" s="232"/>
      <c r="D434" s="231"/>
      <c r="E434" s="56"/>
      <c r="F434" s="109"/>
      <c r="G434" s="53"/>
      <c r="H434" s="53"/>
      <c r="I434" s="53"/>
      <c r="J434" s="54"/>
      <c r="K434" s="60"/>
      <c r="L434" s="53"/>
      <c r="P434" s="91"/>
      <c r="Q434" s="92"/>
      <c r="R434" s="93"/>
      <c r="S434" s="93"/>
      <c r="T434" s="53"/>
      <c r="U434" s="53"/>
    </row>
    <row r="435">
      <c r="A435" s="231"/>
      <c r="C435" s="232"/>
      <c r="D435" s="231"/>
      <c r="E435" s="56"/>
      <c r="F435" s="109"/>
      <c r="G435" s="53"/>
      <c r="H435" s="53"/>
      <c r="I435" s="53"/>
      <c r="J435" s="54"/>
      <c r="K435" s="60"/>
      <c r="L435" s="53"/>
      <c r="P435" s="91"/>
      <c r="Q435" s="92"/>
      <c r="R435" s="93"/>
      <c r="S435" s="93"/>
      <c r="T435" s="53"/>
      <c r="U435" s="53"/>
    </row>
    <row r="436">
      <c r="A436" s="231"/>
      <c r="C436" s="232"/>
      <c r="D436" s="231"/>
      <c r="E436" s="56"/>
      <c r="F436" s="109"/>
      <c r="G436" s="53"/>
      <c r="H436" s="53"/>
      <c r="I436" s="53"/>
      <c r="J436" s="54"/>
      <c r="K436" s="60"/>
      <c r="L436" s="53"/>
      <c r="P436" s="91"/>
      <c r="Q436" s="92"/>
      <c r="R436" s="93"/>
      <c r="S436" s="93"/>
      <c r="T436" s="53"/>
      <c r="U436" s="53"/>
    </row>
    <row r="437">
      <c r="A437" s="231"/>
      <c r="C437" s="232"/>
      <c r="D437" s="231"/>
      <c r="E437" s="56"/>
      <c r="F437" s="109"/>
      <c r="G437" s="53"/>
      <c r="H437" s="53"/>
      <c r="I437" s="53"/>
      <c r="J437" s="54"/>
      <c r="K437" s="60"/>
      <c r="L437" s="53"/>
      <c r="P437" s="91"/>
      <c r="Q437" s="92"/>
      <c r="R437" s="93"/>
      <c r="S437" s="93"/>
      <c r="T437" s="53"/>
      <c r="U437" s="53"/>
    </row>
    <row r="438">
      <c r="A438" s="231"/>
      <c r="C438" s="232"/>
      <c r="D438" s="231"/>
      <c r="E438" s="56"/>
      <c r="F438" s="109"/>
      <c r="G438" s="53"/>
      <c r="H438" s="53"/>
      <c r="I438" s="53"/>
      <c r="J438" s="54"/>
      <c r="K438" s="60"/>
      <c r="L438" s="53"/>
      <c r="P438" s="91"/>
      <c r="Q438" s="92"/>
      <c r="R438" s="93"/>
      <c r="S438" s="93"/>
      <c r="T438" s="53"/>
      <c r="U438" s="53"/>
    </row>
    <row r="439">
      <c r="A439" s="231"/>
      <c r="C439" s="232"/>
      <c r="D439" s="231"/>
      <c r="E439" s="56"/>
      <c r="F439" s="109"/>
      <c r="G439" s="53"/>
      <c r="H439" s="53"/>
      <c r="I439" s="53"/>
      <c r="J439" s="54"/>
      <c r="K439" s="60"/>
      <c r="L439" s="53"/>
      <c r="P439" s="91"/>
      <c r="Q439" s="92"/>
      <c r="R439" s="93"/>
      <c r="S439" s="93"/>
      <c r="T439" s="53"/>
      <c r="U439" s="53"/>
    </row>
    <row r="440">
      <c r="A440" s="231"/>
      <c r="C440" s="232"/>
      <c r="D440" s="231"/>
      <c r="E440" s="56"/>
      <c r="F440" s="109"/>
      <c r="G440" s="53"/>
      <c r="H440" s="53"/>
      <c r="I440" s="53"/>
      <c r="J440" s="54"/>
      <c r="K440" s="60"/>
      <c r="L440" s="53"/>
      <c r="P440" s="91"/>
      <c r="Q440" s="92"/>
      <c r="R440" s="93"/>
      <c r="S440" s="93"/>
      <c r="T440" s="53"/>
      <c r="U440" s="53"/>
    </row>
    <row r="441">
      <c r="A441" s="231"/>
      <c r="C441" s="232"/>
      <c r="D441" s="231"/>
      <c r="E441" s="56"/>
      <c r="F441" s="109"/>
      <c r="G441" s="53"/>
      <c r="H441" s="53"/>
      <c r="I441" s="53"/>
      <c r="J441" s="54"/>
      <c r="K441" s="60"/>
      <c r="L441" s="53"/>
      <c r="P441" s="91"/>
      <c r="Q441" s="92"/>
      <c r="R441" s="93"/>
      <c r="S441" s="93"/>
      <c r="T441" s="53"/>
      <c r="U441" s="53"/>
    </row>
    <row r="442">
      <c r="A442" s="231"/>
      <c r="C442" s="232"/>
      <c r="D442" s="231"/>
      <c r="E442" s="56"/>
      <c r="F442" s="109"/>
      <c r="G442" s="53"/>
      <c r="H442" s="53"/>
      <c r="I442" s="53"/>
      <c r="J442" s="54"/>
      <c r="K442" s="60"/>
      <c r="L442" s="53"/>
      <c r="P442" s="91"/>
      <c r="Q442" s="92"/>
      <c r="R442" s="93"/>
      <c r="S442" s="93"/>
      <c r="T442" s="53"/>
      <c r="U442" s="53"/>
    </row>
    <row r="443">
      <c r="A443" s="231"/>
      <c r="C443" s="232"/>
      <c r="D443" s="231"/>
      <c r="E443" s="56"/>
      <c r="F443" s="109"/>
      <c r="G443" s="53"/>
      <c r="H443" s="53"/>
      <c r="I443" s="53"/>
      <c r="J443" s="54"/>
      <c r="K443" s="60"/>
      <c r="L443" s="53"/>
      <c r="P443" s="91"/>
      <c r="Q443" s="92"/>
      <c r="R443" s="93"/>
      <c r="S443" s="93"/>
      <c r="T443" s="53"/>
      <c r="U443" s="53"/>
    </row>
    <row r="444">
      <c r="A444" s="231"/>
      <c r="C444" s="232"/>
      <c r="D444" s="231"/>
      <c r="E444" s="56"/>
      <c r="F444" s="109"/>
      <c r="G444" s="53"/>
      <c r="H444" s="53"/>
      <c r="I444" s="53"/>
      <c r="J444" s="54"/>
      <c r="K444" s="60"/>
      <c r="L444" s="53"/>
      <c r="P444" s="91"/>
      <c r="Q444" s="92"/>
      <c r="R444" s="93"/>
      <c r="S444" s="93"/>
      <c r="T444" s="53"/>
      <c r="U444" s="53"/>
    </row>
    <row r="445">
      <c r="A445" s="231"/>
      <c r="C445" s="232"/>
      <c r="D445" s="231"/>
      <c r="E445" s="56"/>
      <c r="F445" s="109"/>
      <c r="G445" s="53"/>
      <c r="H445" s="53"/>
      <c r="I445" s="53"/>
      <c r="J445" s="54"/>
      <c r="K445" s="60"/>
      <c r="L445" s="53"/>
      <c r="P445" s="91"/>
      <c r="Q445" s="92"/>
      <c r="R445" s="93"/>
      <c r="S445" s="93"/>
      <c r="T445" s="53"/>
      <c r="U445" s="53"/>
    </row>
    <row r="446">
      <c r="A446" s="231"/>
      <c r="C446" s="232"/>
      <c r="D446" s="231"/>
      <c r="E446" s="56"/>
      <c r="F446" s="109"/>
      <c r="G446" s="53"/>
      <c r="H446" s="53"/>
      <c r="I446" s="53"/>
      <c r="J446" s="54"/>
      <c r="K446" s="60"/>
      <c r="L446" s="53"/>
      <c r="P446" s="91"/>
      <c r="Q446" s="92"/>
      <c r="R446" s="93"/>
      <c r="S446" s="93"/>
      <c r="T446" s="53"/>
      <c r="U446" s="53"/>
    </row>
    <row r="447">
      <c r="A447" s="231"/>
      <c r="C447" s="232"/>
      <c r="D447" s="231"/>
      <c r="E447" s="56"/>
      <c r="F447" s="109"/>
      <c r="G447" s="53"/>
      <c r="H447" s="53"/>
      <c r="I447" s="53"/>
      <c r="J447" s="54"/>
      <c r="K447" s="60"/>
      <c r="L447" s="53"/>
      <c r="P447" s="91"/>
      <c r="Q447" s="92"/>
      <c r="R447" s="93"/>
      <c r="S447" s="93"/>
      <c r="T447" s="53"/>
      <c r="U447" s="53"/>
    </row>
    <row r="448">
      <c r="A448" s="231"/>
      <c r="C448" s="232"/>
      <c r="D448" s="231"/>
      <c r="E448" s="56"/>
      <c r="F448" s="109"/>
      <c r="G448" s="53"/>
      <c r="H448" s="53"/>
      <c r="I448" s="53"/>
      <c r="J448" s="54"/>
      <c r="K448" s="60"/>
      <c r="L448" s="53"/>
      <c r="P448" s="91"/>
      <c r="Q448" s="92"/>
      <c r="R448" s="93"/>
      <c r="S448" s="93"/>
      <c r="T448" s="53"/>
      <c r="U448" s="53"/>
    </row>
    <row r="449">
      <c r="A449" s="231"/>
      <c r="C449" s="232"/>
      <c r="D449" s="231"/>
      <c r="E449" s="56"/>
      <c r="F449" s="109"/>
      <c r="G449" s="53"/>
      <c r="H449" s="53"/>
      <c r="I449" s="53"/>
      <c r="J449" s="54"/>
      <c r="K449" s="60"/>
      <c r="L449" s="53"/>
      <c r="P449" s="91"/>
      <c r="Q449" s="92"/>
      <c r="R449" s="93"/>
      <c r="S449" s="93"/>
      <c r="T449" s="53"/>
      <c r="U449" s="53"/>
    </row>
    <row r="450">
      <c r="A450" s="231"/>
      <c r="C450" s="232"/>
      <c r="D450" s="231"/>
      <c r="E450" s="56"/>
      <c r="F450" s="109"/>
      <c r="G450" s="53"/>
      <c r="H450" s="53"/>
      <c r="I450" s="53"/>
      <c r="J450" s="54"/>
      <c r="K450" s="60"/>
      <c r="L450" s="53"/>
      <c r="P450" s="91"/>
      <c r="Q450" s="92"/>
      <c r="R450" s="93"/>
      <c r="S450" s="93"/>
      <c r="T450" s="53"/>
      <c r="U450" s="53"/>
    </row>
    <row r="451">
      <c r="A451" s="231"/>
      <c r="C451" s="232"/>
      <c r="D451" s="231"/>
      <c r="E451" s="56"/>
      <c r="F451" s="109"/>
      <c r="G451" s="53"/>
      <c r="H451" s="53"/>
      <c r="I451" s="53"/>
      <c r="J451" s="54"/>
      <c r="K451" s="60"/>
      <c r="L451" s="53"/>
      <c r="P451" s="91"/>
      <c r="Q451" s="92"/>
      <c r="R451" s="93"/>
      <c r="S451" s="93"/>
      <c r="T451" s="53"/>
      <c r="U451" s="53"/>
    </row>
    <row r="452">
      <c r="A452" s="231"/>
      <c r="C452" s="232"/>
      <c r="D452" s="231"/>
      <c r="E452" s="56"/>
      <c r="F452" s="109"/>
      <c r="G452" s="53"/>
      <c r="H452" s="53"/>
      <c r="I452" s="53"/>
      <c r="J452" s="54"/>
      <c r="K452" s="60"/>
      <c r="L452" s="53"/>
      <c r="P452" s="91"/>
      <c r="Q452" s="92"/>
      <c r="R452" s="93"/>
      <c r="S452" s="93"/>
      <c r="T452" s="53"/>
      <c r="U452" s="53"/>
    </row>
    <row r="453">
      <c r="A453" s="231"/>
      <c r="C453" s="232"/>
      <c r="D453" s="231"/>
      <c r="E453" s="56"/>
      <c r="F453" s="109"/>
      <c r="G453" s="53"/>
      <c r="H453" s="53"/>
      <c r="I453" s="53"/>
      <c r="J453" s="54"/>
      <c r="K453" s="60"/>
      <c r="L453" s="53"/>
      <c r="P453" s="91"/>
      <c r="Q453" s="92"/>
      <c r="R453" s="93"/>
      <c r="S453" s="93"/>
      <c r="T453" s="53"/>
      <c r="U453" s="53"/>
    </row>
    <row r="454">
      <c r="A454" s="231"/>
      <c r="C454" s="232"/>
      <c r="D454" s="231"/>
      <c r="E454" s="56"/>
      <c r="F454" s="109"/>
      <c r="G454" s="53"/>
      <c r="H454" s="53"/>
      <c r="I454" s="53"/>
      <c r="J454" s="54"/>
      <c r="K454" s="60"/>
      <c r="L454" s="53"/>
      <c r="P454" s="91"/>
      <c r="Q454" s="92"/>
      <c r="R454" s="93"/>
      <c r="S454" s="93"/>
      <c r="T454" s="53"/>
      <c r="U454" s="53"/>
    </row>
    <row r="455">
      <c r="A455" s="231"/>
      <c r="C455" s="232"/>
      <c r="D455" s="231"/>
      <c r="E455" s="56"/>
      <c r="F455" s="109"/>
      <c r="G455" s="53"/>
      <c r="H455" s="53"/>
      <c r="I455" s="53"/>
      <c r="J455" s="54"/>
      <c r="K455" s="60"/>
      <c r="L455" s="53"/>
      <c r="P455" s="91"/>
      <c r="Q455" s="92"/>
      <c r="R455" s="93"/>
      <c r="S455" s="93"/>
      <c r="T455" s="53"/>
      <c r="U455" s="53"/>
    </row>
    <row r="456">
      <c r="A456" s="231"/>
      <c r="C456" s="232"/>
      <c r="D456" s="231"/>
      <c r="E456" s="56"/>
      <c r="F456" s="109"/>
      <c r="G456" s="53"/>
      <c r="H456" s="53"/>
      <c r="I456" s="53"/>
      <c r="J456" s="54"/>
      <c r="K456" s="60"/>
      <c r="L456" s="53"/>
      <c r="P456" s="91"/>
      <c r="Q456" s="92"/>
      <c r="R456" s="93"/>
      <c r="S456" s="93"/>
      <c r="T456" s="53"/>
      <c r="U456" s="53"/>
    </row>
    <row r="457">
      <c r="A457" s="231"/>
      <c r="C457" s="232"/>
      <c r="D457" s="231"/>
      <c r="E457" s="56"/>
      <c r="F457" s="109"/>
      <c r="G457" s="53"/>
      <c r="H457" s="53"/>
      <c r="I457" s="53"/>
      <c r="J457" s="54"/>
      <c r="K457" s="60"/>
      <c r="L457" s="53"/>
      <c r="P457" s="91"/>
      <c r="Q457" s="92"/>
      <c r="R457" s="93"/>
      <c r="S457" s="93"/>
      <c r="T457" s="53"/>
      <c r="U457" s="53"/>
    </row>
    <row r="458">
      <c r="A458" s="231"/>
      <c r="C458" s="232"/>
      <c r="D458" s="231"/>
      <c r="E458" s="56"/>
      <c r="F458" s="109"/>
      <c r="G458" s="53"/>
      <c r="H458" s="53"/>
      <c r="I458" s="53"/>
      <c r="J458" s="54"/>
      <c r="K458" s="60"/>
      <c r="L458" s="53"/>
      <c r="P458" s="91"/>
      <c r="Q458" s="92"/>
      <c r="R458" s="93"/>
      <c r="S458" s="93"/>
      <c r="T458" s="53"/>
      <c r="U458" s="53"/>
    </row>
    <row r="459">
      <c r="A459" s="231"/>
      <c r="C459" s="232"/>
      <c r="D459" s="231"/>
      <c r="E459" s="56"/>
      <c r="F459" s="109"/>
      <c r="G459" s="53"/>
      <c r="H459" s="53"/>
      <c r="I459" s="53"/>
      <c r="J459" s="54"/>
      <c r="K459" s="60"/>
      <c r="L459" s="53"/>
      <c r="P459" s="91"/>
      <c r="Q459" s="92"/>
      <c r="R459" s="93"/>
      <c r="S459" s="93"/>
      <c r="T459" s="53"/>
      <c r="U459" s="53"/>
    </row>
    <row r="460">
      <c r="A460" s="231"/>
      <c r="C460" s="232"/>
      <c r="D460" s="231"/>
      <c r="E460" s="56"/>
      <c r="F460" s="109"/>
      <c r="G460" s="53"/>
      <c r="H460" s="53"/>
      <c r="I460" s="53"/>
      <c r="J460" s="54"/>
      <c r="K460" s="60"/>
      <c r="L460" s="53"/>
      <c r="P460" s="91"/>
      <c r="Q460" s="92"/>
      <c r="R460" s="93"/>
      <c r="S460" s="93"/>
      <c r="T460" s="53"/>
      <c r="U460" s="53"/>
    </row>
    <row r="461">
      <c r="A461" s="231"/>
      <c r="C461" s="232"/>
      <c r="D461" s="231"/>
      <c r="E461" s="56"/>
      <c r="F461" s="109"/>
      <c r="G461" s="53"/>
      <c r="H461" s="53"/>
      <c r="I461" s="53"/>
      <c r="J461" s="54"/>
      <c r="K461" s="60"/>
      <c r="L461" s="53"/>
      <c r="P461" s="91"/>
      <c r="Q461" s="92"/>
      <c r="R461" s="93"/>
      <c r="S461" s="93"/>
      <c r="T461" s="53"/>
      <c r="U461" s="53"/>
    </row>
    <row r="462">
      <c r="A462" s="231"/>
      <c r="C462" s="232"/>
      <c r="D462" s="231"/>
      <c r="E462" s="56"/>
      <c r="F462" s="109"/>
      <c r="G462" s="53"/>
      <c r="H462" s="53"/>
      <c r="I462" s="53"/>
      <c r="J462" s="54"/>
      <c r="K462" s="60"/>
      <c r="L462" s="53"/>
      <c r="P462" s="91"/>
      <c r="Q462" s="92"/>
      <c r="R462" s="93"/>
      <c r="S462" s="93"/>
      <c r="T462" s="53"/>
      <c r="U462" s="53"/>
    </row>
    <row r="463">
      <c r="A463" s="231"/>
      <c r="C463" s="232"/>
      <c r="D463" s="231"/>
      <c r="E463" s="56"/>
      <c r="F463" s="109"/>
      <c r="G463" s="53"/>
      <c r="H463" s="53"/>
      <c r="I463" s="53"/>
      <c r="J463" s="54"/>
      <c r="K463" s="60"/>
      <c r="L463" s="53"/>
      <c r="P463" s="91"/>
      <c r="Q463" s="92"/>
      <c r="R463" s="93"/>
      <c r="S463" s="93"/>
      <c r="T463" s="53"/>
      <c r="U463" s="53"/>
    </row>
    <row r="464">
      <c r="A464" s="231"/>
      <c r="C464" s="232"/>
      <c r="D464" s="231"/>
      <c r="E464" s="56"/>
      <c r="F464" s="109"/>
      <c r="G464" s="53"/>
      <c r="H464" s="53"/>
      <c r="I464" s="53"/>
      <c r="J464" s="54"/>
      <c r="K464" s="60"/>
      <c r="L464" s="53"/>
      <c r="P464" s="91"/>
      <c r="Q464" s="92"/>
      <c r="R464" s="93"/>
      <c r="S464" s="93"/>
      <c r="T464" s="53"/>
      <c r="U464" s="53"/>
    </row>
    <row r="465">
      <c r="A465" s="231"/>
      <c r="C465" s="232"/>
      <c r="D465" s="231"/>
      <c r="E465" s="56"/>
      <c r="F465" s="109"/>
      <c r="G465" s="53"/>
      <c r="H465" s="53"/>
      <c r="I465" s="53"/>
      <c r="J465" s="54"/>
      <c r="K465" s="60"/>
      <c r="L465" s="53"/>
      <c r="P465" s="91"/>
      <c r="Q465" s="92"/>
      <c r="R465" s="93"/>
      <c r="S465" s="93"/>
      <c r="T465" s="53"/>
      <c r="U465" s="53"/>
    </row>
    <row r="466">
      <c r="A466" s="231"/>
      <c r="C466" s="232"/>
      <c r="D466" s="231"/>
      <c r="E466" s="56"/>
      <c r="F466" s="109"/>
      <c r="G466" s="53"/>
      <c r="H466" s="53"/>
      <c r="I466" s="53"/>
      <c r="J466" s="54"/>
      <c r="K466" s="60"/>
      <c r="L466" s="53"/>
      <c r="P466" s="91"/>
      <c r="Q466" s="92"/>
      <c r="R466" s="93"/>
      <c r="S466" s="93"/>
      <c r="T466" s="53"/>
      <c r="U466" s="53"/>
    </row>
    <row r="467">
      <c r="A467" s="231"/>
      <c r="C467" s="232"/>
      <c r="D467" s="231"/>
      <c r="E467" s="56"/>
      <c r="F467" s="109"/>
      <c r="G467" s="53"/>
      <c r="H467" s="53"/>
      <c r="I467" s="53"/>
      <c r="J467" s="54"/>
      <c r="K467" s="60"/>
      <c r="L467" s="53"/>
      <c r="P467" s="91"/>
      <c r="Q467" s="92"/>
      <c r="R467" s="93"/>
      <c r="S467" s="93"/>
      <c r="T467" s="53"/>
      <c r="U467" s="53"/>
    </row>
    <row r="468">
      <c r="A468" s="231"/>
      <c r="C468" s="232"/>
      <c r="D468" s="231"/>
      <c r="E468" s="56"/>
      <c r="F468" s="109"/>
      <c r="G468" s="53"/>
      <c r="H468" s="53"/>
      <c r="I468" s="53"/>
      <c r="J468" s="54"/>
      <c r="K468" s="60"/>
      <c r="L468" s="53"/>
      <c r="P468" s="91"/>
      <c r="Q468" s="92"/>
      <c r="R468" s="93"/>
      <c r="S468" s="93"/>
      <c r="T468" s="53"/>
      <c r="U468" s="53"/>
    </row>
    <row r="469">
      <c r="A469" s="231"/>
      <c r="C469" s="232"/>
      <c r="D469" s="231"/>
      <c r="E469" s="56"/>
      <c r="F469" s="109"/>
      <c r="G469" s="53"/>
      <c r="H469" s="53"/>
      <c r="I469" s="53"/>
      <c r="J469" s="54"/>
      <c r="K469" s="60"/>
      <c r="L469" s="53"/>
      <c r="P469" s="91"/>
      <c r="Q469" s="92"/>
      <c r="R469" s="93"/>
      <c r="S469" s="93"/>
      <c r="T469" s="53"/>
      <c r="U469" s="53"/>
    </row>
    <row r="470">
      <c r="A470" s="231"/>
      <c r="C470" s="232"/>
      <c r="D470" s="231"/>
      <c r="E470" s="56"/>
      <c r="F470" s="109"/>
      <c r="G470" s="53"/>
      <c r="H470" s="53"/>
      <c r="I470" s="53"/>
      <c r="J470" s="54"/>
      <c r="K470" s="60"/>
      <c r="L470" s="53"/>
      <c r="P470" s="91"/>
      <c r="Q470" s="92"/>
      <c r="R470" s="93"/>
      <c r="S470" s="93"/>
      <c r="T470" s="53"/>
      <c r="U470" s="53"/>
    </row>
    <row r="471">
      <c r="A471" s="231"/>
      <c r="C471" s="232"/>
      <c r="D471" s="231"/>
      <c r="E471" s="56"/>
      <c r="F471" s="109"/>
      <c r="G471" s="53"/>
      <c r="H471" s="53"/>
      <c r="I471" s="53"/>
      <c r="J471" s="54"/>
      <c r="K471" s="60"/>
      <c r="L471" s="53"/>
      <c r="P471" s="91"/>
      <c r="Q471" s="92"/>
      <c r="R471" s="93"/>
      <c r="S471" s="93"/>
      <c r="T471" s="53"/>
      <c r="U471" s="53"/>
    </row>
    <row r="472">
      <c r="A472" s="231"/>
      <c r="C472" s="232"/>
      <c r="D472" s="231"/>
      <c r="E472" s="56"/>
      <c r="F472" s="109"/>
      <c r="G472" s="53"/>
      <c r="H472" s="53"/>
      <c r="I472" s="53"/>
      <c r="J472" s="54"/>
      <c r="K472" s="60"/>
      <c r="L472" s="53"/>
      <c r="P472" s="91"/>
      <c r="Q472" s="92"/>
      <c r="R472" s="93"/>
      <c r="S472" s="93"/>
      <c r="T472" s="53"/>
      <c r="U472" s="53"/>
    </row>
    <row r="473">
      <c r="A473" s="231"/>
      <c r="C473" s="232"/>
      <c r="D473" s="231"/>
      <c r="E473" s="56"/>
      <c r="F473" s="109"/>
      <c r="G473" s="53"/>
      <c r="H473" s="53"/>
      <c r="I473" s="53"/>
      <c r="J473" s="54"/>
      <c r="K473" s="60"/>
      <c r="L473" s="53"/>
      <c r="P473" s="91"/>
      <c r="Q473" s="92"/>
      <c r="R473" s="93"/>
      <c r="S473" s="93"/>
      <c r="T473" s="53"/>
      <c r="U473" s="53"/>
    </row>
    <row r="474">
      <c r="A474" s="231"/>
      <c r="C474" s="232"/>
      <c r="D474" s="231"/>
      <c r="E474" s="56"/>
      <c r="F474" s="109"/>
      <c r="G474" s="53"/>
      <c r="H474" s="53"/>
      <c r="I474" s="53"/>
      <c r="J474" s="54"/>
      <c r="K474" s="60"/>
      <c r="L474" s="53"/>
      <c r="P474" s="91"/>
      <c r="Q474" s="92"/>
      <c r="R474" s="93"/>
      <c r="S474" s="93"/>
      <c r="T474" s="53"/>
      <c r="U474" s="53"/>
    </row>
    <row r="475">
      <c r="A475" s="231"/>
      <c r="C475" s="232"/>
      <c r="D475" s="231"/>
      <c r="E475" s="56"/>
      <c r="F475" s="109"/>
      <c r="G475" s="53"/>
      <c r="H475" s="53"/>
      <c r="I475" s="53"/>
      <c r="J475" s="54"/>
      <c r="K475" s="60"/>
      <c r="L475" s="53"/>
      <c r="P475" s="91"/>
      <c r="Q475" s="92"/>
      <c r="R475" s="93"/>
      <c r="S475" s="93"/>
      <c r="T475" s="53"/>
      <c r="U475" s="53"/>
    </row>
    <row r="476">
      <c r="A476" s="231"/>
      <c r="C476" s="232"/>
      <c r="D476" s="231"/>
      <c r="E476" s="56"/>
      <c r="F476" s="109"/>
      <c r="G476" s="53"/>
      <c r="H476" s="53"/>
      <c r="I476" s="53"/>
      <c r="J476" s="54"/>
      <c r="K476" s="60"/>
      <c r="L476" s="53"/>
      <c r="P476" s="91"/>
      <c r="Q476" s="92"/>
      <c r="R476" s="93"/>
      <c r="S476" s="93"/>
      <c r="T476" s="53"/>
      <c r="U476" s="53"/>
    </row>
    <row r="477">
      <c r="A477" s="231"/>
      <c r="C477" s="232"/>
      <c r="D477" s="231"/>
      <c r="E477" s="56"/>
      <c r="F477" s="109"/>
      <c r="G477" s="53"/>
      <c r="H477" s="53"/>
      <c r="I477" s="53"/>
      <c r="J477" s="54"/>
      <c r="K477" s="60"/>
      <c r="L477" s="53"/>
      <c r="P477" s="91"/>
      <c r="Q477" s="92"/>
      <c r="R477" s="93"/>
      <c r="S477" s="93"/>
      <c r="T477" s="53"/>
      <c r="U477" s="53"/>
    </row>
    <row r="478">
      <c r="A478" s="231"/>
      <c r="C478" s="232"/>
      <c r="D478" s="231"/>
      <c r="E478" s="56"/>
      <c r="F478" s="109"/>
      <c r="G478" s="53"/>
      <c r="H478" s="53"/>
      <c r="I478" s="53"/>
      <c r="J478" s="54"/>
      <c r="K478" s="60"/>
      <c r="L478" s="53"/>
      <c r="P478" s="91"/>
      <c r="Q478" s="92"/>
      <c r="R478" s="93"/>
      <c r="S478" s="93"/>
      <c r="T478" s="53"/>
      <c r="U478" s="53"/>
    </row>
    <row r="479">
      <c r="A479" s="231"/>
      <c r="C479" s="232"/>
      <c r="D479" s="231"/>
      <c r="E479" s="56"/>
      <c r="F479" s="109"/>
      <c r="G479" s="53"/>
      <c r="H479" s="53"/>
      <c r="I479" s="53"/>
      <c r="J479" s="54"/>
      <c r="K479" s="60"/>
      <c r="L479" s="53"/>
      <c r="P479" s="91"/>
      <c r="Q479" s="92"/>
      <c r="R479" s="93"/>
      <c r="S479" s="93"/>
      <c r="T479" s="53"/>
      <c r="U479" s="53"/>
    </row>
    <row r="480">
      <c r="A480" s="231"/>
      <c r="C480" s="232"/>
      <c r="D480" s="231"/>
      <c r="E480" s="56"/>
      <c r="F480" s="109"/>
      <c r="G480" s="53"/>
      <c r="H480" s="53"/>
      <c r="I480" s="53"/>
      <c r="J480" s="54"/>
      <c r="K480" s="60"/>
      <c r="L480" s="53"/>
      <c r="P480" s="91"/>
      <c r="Q480" s="92"/>
      <c r="R480" s="93"/>
      <c r="S480" s="93"/>
      <c r="T480" s="53"/>
      <c r="U480" s="53"/>
    </row>
    <row r="481">
      <c r="A481" s="231"/>
      <c r="C481" s="232"/>
      <c r="D481" s="231"/>
      <c r="E481" s="56"/>
      <c r="F481" s="109"/>
      <c r="G481" s="53"/>
      <c r="H481" s="53"/>
      <c r="I481" s="53"/>
      <c r="J481" s="54"/>
      <c r="K481" s="60"/>
      <c r="L481" s="53"/>
      <c r="P481" s="91"/>
      <c r="Q481" s="92"/>
      <c r="R481" s="93"/>
      <c r="S481" s="93"/>
      <c r="T481" s="53"/>
      <c r="U481" s="53"/>
    </row>
    <row r="482">
      <c r="A482" s="231"/>
      <c r="C482" s="232"/>
      <c r="D482" s="231"/>
      <c r="E482" s="56"/>
      <c r="F482" s="109"/>
      <c r="G482" s="53"/>
      <c r="H482" s="53"/>
      <c r="I482" s="53"/>
      <c r="J482" s="54"/>
      <c r="K482" s="60"/>
      <c r="L482" s="53"/>
      <c r="P482" s="91"/>
      <c r="Q482" s="92"/>
      <c r="R482" s="93"/>
      <c r="S482" s="93"/>
      <c r="T482" s="53"/>
      <c r="U482" s="53"/>
    </row>
    <row r="483">
      <c r="A483" s="231"/>
      <c r="C483" s="232"/>
      <c r="D483" s="231"/>
      <c r="E483" s="56"/>
      <c r="F483" s="109"/>
      <c r="G483" s="53"/>
      <c r="H483" s="53"/>
      <c r="I483" s="53"/>
      <c r="J483" s="54"/>
      <c r="K483" s="60"/>
      <c r="L483" s="53"/>
      <c r="P483" s="91"/>
      <c r="Q483" s="92"/>
      <c r="R483" s="93"/>
      <c r="S483" s="93"/>
      <c r="T483" s="53"/>
      <c r="U483" s="53"/>
    </row>
    <row r="484">
      <c r="A484" s="231"/>
      <c r="C484" s="232"/>
      <c r="D484" s="231"/>
      <c r="E484" s="56"/>
      <c r="F484" s="109"/>
      <c r="G484" s="53"/>
      <c r="H484" s="53"/>
      <c r="I484" s="53"/>
      <c r="J484" s="54"/>
      <c r="K484" s="60"/>
      <c r="L484" s="53"/>
      <c r="P484" s="91"/>
      <c r="Q484" s="92"/>
      <c r="R484" s="93"/>
      <c r="S484" s="93"/>
      <c r="T484" s="53"/>
      <c r="U484" s="53"/>
    </row>
    <row r="485">
      <c r="A485" s="231"/>
      <c r="C485" s="232"/>
      <c r="D485" s="231"/>
      <c r="E485" s="56"/>
      <c r="F485" s="109"/>
      <c r="G485" s="53"/>
      <c r="H485" s="53"/>
      <c r="I485" s="53"/>
      <c r="J485" s="54"/>
      <c r="K485" s="60"/>
      <c r="L485" s="53"/>
      <c r="P485" s="91"/>
      <c r="Q485" s="92"/>
      <c r="R485" s="93"/>
      <c r="S485" s="93"/>
      <c r="T485" s="53"/>
      <c r="U485" s="53"/>
    </row>
    <row r="486">
      <c r="A486" s="231"/>
      <c r="C486" s="232"/>
      <c r="D486" s="231"/>
      <c r="E486" s="56"/>
      <c r="F486" s="109"/>
      <c r="G486" s="53"/>
      <c r="H486" s="53"/>
      <c r="I486" s="53"/>
      <c r="J486" s="54"/>
      <c r="K486" s="60"/>
      <c r="L486" s="53"/>
      <c r="P486" s="91"/>
      <c r="Q486" s="92"/>
      <c r="R486" s="93"/>
      <c r="S486" s="93"/>
      <c r="T486" s="53"/>
      <c r="U486" s="53"/>
    </row>
    <row r="487">
      <c r="A487" s="231"/>
      <c r="C487" s="232"/>
      <c r="D487" s="231"/>
      <c r="E487" s="56"/>
      <c r="F487" s="109"/>
      <c r="G487" s="53"/>
      <c r="H487" s="53"/>
      <c r="I487" s="53"/>
      <c r="J487" s="54"/>
      <c r="K487" s="60"/>
      <c r="L487" s="53"/>
      <c r="P487" s="91"/>
      <c r="Q487" s="92"/>
      <c r="R487" s="93"/>
      <c r="S487" s="93"/>
      <c r="T487" s="53"/>
      <c r="U487" s="53"/>
    </row>
    <row r="488">
      <c r="A488" s="231"/>
      <c r="C488" s="232"/>
      <c r="D488" s="231"/>
      <c r="E488" s="56"/>
      <c r="F488" s="109"/>
      <c r="G488" s="53"/>
      <c r="H488" s="53"/>
      <c r="I488" s="53"/>
      <c r="J488" s="54"/>
      <c r="K488" s="60"/>
      <c r="L488" s="53"/>
      <c r="P488" s="91"/>
      <c r="Q488" s="92"/>
      <c r="R488" s="93"/>
      <c r="S488" s="93"/>
      <c r="T488" s="53"/>
      <c r="U488" s="53"/>
    </row>
    <row r="489">
      <c r="A489" s="231"/>
      <c r="C489" s="232"/>
      <c r="D489" s="231"/>
      <c r="E489" s="56"/>
      <c r="F489" s="109"/>
      <c r="G489" s="53"/>
      <c r="H489" s="53"/>
      <c r="I489" s="53"/>
      <c r="J489" s="54"/>
      <c r="K489" s="60"/>
      <c r="L489" s="53"/>
      <c r="P489" s="91"/>
      <c r="Q489" s="92"/>
      <c r="R489" s="93"/>
      <c r="S489" s="93"/>
      <c r="T489" s="53"/>
      <c r="U489" s="53"/>
    </row>
    <row r="490">
      <c r="A490" s="231"/>
      <c r="C490" s="232"/>
      <c r="D490" s="231"/>
      <c r="E490" s="56"/>
      <c r="F490" s="109"/>
      <c r="G490" s="53"/>
      <c r="H490" s="53"/>
      <c r="I490" s="53"/>
      <c r="J490" s="54"/>
      <c r="K490" s="60"/>
      <c r="L490" s="53"/>
      <c r="P490" s="91"/>
      <c r="Q490" s="92"/>
      <c r="R490" s="93"/>
      <c r="S490" s="93"/>
      <c r="T490" s="53"/>
      <c r="U490" s="53"/>
    </row>
    <row r="491">
      <c r="A491" s="231"/>
      <c r="C491" s="232"/>
      <c r="D491" s="231"/>
      <c r="E491" s="56"/>
      <c r="F491" s="109"/>
      <c r="G491" s="53"/>
      <c r="H491" s="53"/>
      <c r="I491" s="53"/>
      <c r="J491" s="54"/>
      <c r="K491" s="60"/>
      <c r="L491" s="53"/>
      <c r="P491" s="91"/>
      <c r="Q491" s="92"/>
      <c r="R491" s="93"/>
      <c r="S491" s="93"/>
      <c r="T491" s="53"/>
      <c r="U491" s="53"/>
    </row>
    <row r="492">
      <c r="A492" s="231"/>
      <c r="C492" s="232"/>
      <c r="D492" s="231"/>
      <c r="E492" s="56"/>
      <c r="F492" s="109"/>
      <c r="G492" s="53"/>
      <c r="H492" s="53"/>
      <c r="I492" s="53"/>
      <c r="J492" s="54"/>
      <c r="K492" s="60"/>
      <c r="L492" s="53"/>
      <c r="P492" s="91"/>
      <c r="Q492" s="92"/>
      <c r="R492" s="93"/>
      <c r="S492" s="93"/>
      <c r="T492" s="53"/>
      <c r="U492" s="53"/>
    </row>
    <row r="493">
      <c r="A493" s="231"/>
      <c r="C493" s="232"/>
      <c r="D493" s="231"/>
      <c r="E493" s="56"/>
      <c r="F493" s="109"/>
      <c r="G493" s="53"/>
      <c r="H493" s="53"/>
      <c r="I493" s="53"/>
      <c r="J493" s="54"/>
      <c r="K493" s="60"/>
      <c r="L493" s="53"/>
      <c r="P493" s="91"/>
      <c r="Q493" s="92"/>
      <c r="R493" s="93"/>
      <c r="S493" s="93"/>
      <c r="T493" s="53"/>
      <c r="U493" s="53"/>
    </row>
    <row r="494">
      <c r="A494" s="231"/>
      <c r="C494" s="232"/>
      <c r="D494" s="231"/>
      <c r="E494" s="56"/>
      <c r="F494" s="109"/>
      <c r="G494" s="53"/>
      <c r="H494" s="53"/>
      <c r="I494" s="53"/>
      <c r="J494" s="54"/>
      <c r="K494" s="60"/>
      <c r="L494" s="53"/>
      <c r="P494" s="91"/>
      <c r="Q494" s="92"/>
      <c r="R494" s="93"/>
      <c r="S494" s="93"/>
      <c r="T494" s="53"/>
      <c r="U494" s="53"/>
    </row>
    <row r="495">
      <c r="A495" s="231"/>
      <c r="C495" s="232"/>
      <c r="D495" s="231"/>
      <c r="E495" s="56"/>
      <c r="F495" s="109"/>
      <c r="G495" s="53"/>
      <c r="H495" s="53"/>
      <c r="I495" s="53"/>
      <c r="J495" s="54"/>
      <c r="K495" s="60"/>
      <c r="L495" s="53"/>
      <c r="P495" s="91"/>
      <c r="Q495" s="92"/>
      <c r="R495" s="93"/>
      <c r="S495" s="93"/>
      <c r="T495" s="53"/>
      <c r="U495" s="53"/>
    </row>
    <row r="496">
      <c r="A496" s="231"/>
      <c r="C496" s="232"/>
      <c r="D496" s="231"/>
      <c r="E496" s="56"/>
      <c r="F496" s="109"/>
      <c r="G496" s="53"/>
      <c r="H496" s="53"/>
      <c r="I496" s="53"/>
      <c r="J496" s="54"/>
      <c r="K496" s="60"/>
      <c r="L496" s="53"/>
      <c r="P496" s="91"/>
      <c r="Q496" s="92"/>
      <c r="R496" s="93"/>
      <c r="S496" s="93"/>
      <c r="T496" s="53"/>
      <c r="U496" s="53"/>
    </row>
    <row r="497">
      <c r="A497" s="231"/>
      <c r="C497" s="232"/>
      <c r="D497" s="231"/>
      <c r="E497" s="56"/>
      <c r="F497" s="109"/>
      <c r="G497" s="53"/>
      <c r="H497" s="53"/>
      <c r="I497" s="53"/>
      <c r="J497" s="54"/>
      <c r="K497" s="60"/>
      <c r="L497" s="53"/>
      <c r="P497" s="91"/>
      <c r="Q497" s="92"/>
      <c r="R497" s="93"/>
      <c r="S497" s="93"/>
      <c r="T497" s="53"/>
      <c r="U497" s="53"/>
    </row>
    <row r="498">
      <c r="A498" s="231"/>
      <c r="C498" s="232"/>
      <c r="D498" s="231"/>
      <c r="E498" s="56"/>
      <c r="F498" s="109"/>
      <c r="G498" s="53"/>
      <c r="H498" s="53"/>
      <c r="I498" s="53"/>
      <c r="J498" s="54"/>
      <c r="K498" s="60"/>
      <c r="L498" s="53"/>
      <c r="P498" s="91"/>
      <c r="Q498" s="92"/>
      <c r="R498" s="93"/>
      <c r="S498" s="93"/>
      <c r="T498" s="53"/>
      <c r="U498" s="53"/>
    </row>
    <row r="499">
      <c r="A499" s="231"/>
      <c r="C499" s="232"/>
      <c r="D499" s="231"/>
      <c r="E499" s="56"/>
      <c r="F499" s="109"/>
      <c r="G499" s="53"/>
      <c r="H499" s="53"/>
      <c r="I499" s="53"/>
      <c r="J499" s="54"/>
      <c r="K499" s="60"/>
      <c r="L499" s="53"/>
      <c r="P499" s="91"/>
      <c r="Q499" s="92"/>
      <c r="R499" s="93"/>
      <c r="S499" s="93"/>
      <c r="T499" s="53"/>
      <c r="U499" s="53"/>
    </row>
    <row r="500">
      <c r="A500" s="231"/>
      <c r="C500" s="232"/>
      <c r="D500" s="231"/>
      <c r="E500" s="56"/>
      <c r="F500" s="109"/>
      <c r="G500" s="53"/>
      <c r="H500" s="53"/>
      <c r="I500" s="53"/>
      <c r="J500" s="54"/>
      <c r="K500" s="60"/>
      <c r="L500" s="53"/>
      <c r="P500" s="91"/>
      <c r="Q500" s="92"/>
      <c r="R500" s="93"/>
      <c r="S500" s="93"/>
      <c r="T500" s="53"/>
      <c r="U500" s="53"/>
    </row>
    <row r="501">
      <c r="A501" s="231"/>
      <c r="C501" s="232"/>
      <c r="D501" s="231"/>
      <c r="E501" s="56"/>
      <c r="F501" s="109"/>
      <c r="G501" s="53"/>
      <c r="H501" s="53"/>
      <c r="I501" s="53"/>
      <c r="J501" s="54"/>
      <c r="K501" s="60"/>
      <c r="L501" s="53"/>
      <c r="P501" s="91"/>
      <c r="Q501" s="92"/>
      <c r="R501" s="93"/>
      <c r="S501" s="93"/>
      <c r="T501" s="53"/>
      <c r="U501" s="53"/>
    </row>
    <row r="502">
      <c r="A502" s="231"/>
      <c r="C502" s="232"/>
      <c r="D502" s="231"/>
      <c r="E502" s="56"/>
      <c r="F502" s="109"/>
      <c r="G502" s="53"/>
      <c r="H502" s="53"/>
      <c r="I502" s="53"/>
      <c r="J502" s="54"/>
      <c r="K502" s="60"/>
      <c r="L502" s="53"/>
      <c r="P502" s="91"/>
      <c r="Q502" s="92"/>
      <c r="R502" s="93"/>
      <c r="S502" s="93"/>
      <c r="T502" s="53"/>
      <c r="U502" s="53"/>
    </row>
    <row r="503">
      <c r="A503" s="231"/>
      <c r="C503" s="232"/>
      <c r="D503" s="231"/>
      <c r="E503" s="56"/>
      <c r="F503" s="109"/>
      <c r="G503" s="53"/>
      <c r="H503" s="53"/>
      <c r="I503" s="53"/>
      <c r="J503" s="54"/>
      <c r="K503" s="60"/>
      <c r="L503" s="53"/>
      <c r="P503" s="91"/>
      <c r="Q503" s="92"/>
      <c r="R503" s="93"/>
      <c r="S503" s="93"/>
      <c r="T503" s="53"/>
      <c r="U503" s="53"/>
    </row>
    <row r="504">
      <c r="A504" s="231"/>
      <c r="C504" s="232"/>
      <c r="D504" s="231"/>
      <c r="E504" s="56"/>
      <c r="F504" s="109"/>
      <c r="G504" s="53"/>
      <c r="H504" s="53"/>
      <c r="I504" s="53"/>
      <c r="J504" s="54"/>
      <c r="K504" s="60"/>
      <c r="L504" s="53"/>
      <c r="P504" s="91"/>
      <c r="Q504" s="92"/>
      <c r="R504" s="93"/>
      <c r="S504" s="93"/>
      <c r="T504" s="53"/>
      <c r="U504" s="53"/>
    </row>
    <row r="505">
      <c r="A505" s="231"/>
      <c r="C505" s="232"/>
      <c r="D505" s="231"/>
      <c r="E505" s="56"/>
      <c r="F505" s="109"/>
      <c r="G505" s="53"/>
      <c r="H505" s="53"/>
      <c r="I505" s="53"/>
      <c r="J505" s="54"/>
      <c r="K505" s="60"/>
      <c r="L505" s="53"/>
      <c r="P505" s="91"/>
      <c r="Q505" s="92"/>
      <c r="R505" s="93"/>
      <c r="S505" s="93"/>
      <c r="T505" s="53"/>
      <c r="U505" s="53"/>
    </row>
    <row r="506">
      <c r="A506" s="231"/>
      <c r="C506" s="232"/>
      <c r="D506" s="231"/>
      <c r="E506" s="56"/>
      <c r="F506" s="109"/>
      <c r="G506" s="53"/>
      <c r="H506" s="53"/>
      <c r="I506" s="53"/>
      <c r="J506" s="54"/>
      <c r="K506" s="60"/>
      <c r="L506" s="53"/>
      <c r="P506" s="91"/>
      <c r="Q506" s="92"/>
      <c r="R506" s="93"/>
      <c r="S506" s="93"/>
      <c r="T506" s="53"/>
      <c r="U506" s="53"/>
    </row>
    <row r="507">
      <c r="A507" s="231"/>
      <c r="C507" s="232"/>
      <c r="D507" s="231"/>
      <c r="E507" s="56"/>
      <c r="F507" s="109"/>
      <c r="G507" s="53"/>
      <c r="H507" s="53"/>
      <c r="I507" s="53"/>
      <c r="J507" s="54"/>
      <c r="K507" s="60"/>
      <c r="L507" s="53"/>
      <c r="P507" s="91"/>
      <c r="Q507" s="92"/>
      <c r="R507" s="93"/>
      <c r="S507" s="93"/>
      <c r="T507" s="53"/>
      <c r="U507" s="53"/>
    </row>
    <row r="508">
      <c r="A508" s="231"/>
      <c r="C508" s="232"/>
      <c r="D508" s="231"/>
      <c r="E508" s="56"/>
      <c r="F508" s="109"/>
      <c r="G508" s="53"/>
      <c r="H508" s="53"/>
      <c r="I508" s="53"/>
      <c r="J508" s="54"/>
      <c r="K508" s="60"/>
      <c r="L508" s="53"/>
      <c r="P508" s="91"/>
      <c r="Q508" s="92"/>
      <c r="R508" s="93"/>
      <c r="S508" s="93"/>
      <c r="T508" s="53"/>
      <c r="U508" s="53"/>
    </row>
    <row r="509">
      <c r="A509" s="231"/>
      <c r="C509" s="232"/>
      <c r="D509" s="231"/>
      <c r="E509" s="56"/>
      <c r="F509" s="109"/>
      <c r="G509" s="53"/>
      <c r="H509" s="53"/>
      <c r="I509" s="53"/>
      <c r="J509" s="54"/>
      <c r="K509" s="60"/>
      <c r="L509" s="53"/>
      <c r="P509" s="91"/>
      <c r="Q509" s="92"/>
      <c r="R509" s="93"/>
      <c r="S509" s="93"/>
      <c r="T509" s="53"/>
      <c r="U509" s="53"/>
    </row>
    <row r="510">
      <c r="A510" s="231"/>
      <c r="C510" s="232"/>
      <c r="D510" s="231"/>
      <c r="E510" s="56"/>
      <c r="F510" s="109"/>
      <c r="G510" s="53"/>
      <c r="H510" s="53"/>
      <c r="I510" s="53"/>
      <c r="J510" s="54"/>
      <c r="K510" s="60"/>
      <c r="L510" s="53"/>
      <c r="P510" s="91"/>
      <c r="Q510" s="92"/>
      <c r="R510" s="93"/>
      <c r="S510" s="93"/>
      <c r="T510" s="53"/>
      <c r="U510" s="53"/>
    </row>
    <row r="511">
      <c r="A511" s="231"/>
      <c r="C511" s="232"/>
      <c r="D511" s="231"/>
      <c r="E511" s="56"/>
      <c r="F511" s="109"/>
      <c r="G511" s="53"/>
      <c r="H511" s="53"/>
      <c r="I511" s="53"/>
      <c r="J511" s="54"/>
      <c r="K511" s="60"/>
      <c r="L511" s="53"/>
      <c r="P511" s="91"/>
      <c r="Q511" s="92"/>
      <c r="R511" s="93"/>
      <c r="S511" s="93"/>
      <c r="T511" s="53"/>
      <c r="U511" s="53"/>
    </row>
    <row r="512">
      <c r="A512" s="231"/>
      <c r="C512" s="232"/>
      <c r="D512" s="231"/>
      <c r="E512" s="56"/>
      <c r="F512" s="109"/>
      <c r="G512" s="53"/>
      <c r="H512" s="53"/>
      <c r="I512" s="53"/>
      <c r="J512" s="54"/>
      <c r="K512" s="60"/>
      <c r="L512" s="53"/>
      <c r="P512" s="91"/>
      <c r="Q512" s="92"/>
      <c r="R512" s="93"/>
      <c r="S512" s="93"/>
      <c r="T512" s="53"/>
      <c r="U512" s="53"/>
    </row>
    <row r="513">
      <c r="A513" s="231"/>
      <c r="C513" s="232"/>
      <c r="D513" s="231"/>
      <c r="E513" s="56"/>
      <c r="F513" s="109"/>
      <c r="G513" s="53"/>
      <c r="H513" s="53"/>
      <c r="I513" s="53"/>
      <c r="J513" s="54"/>
      <c r="K513" s="60"/>
      <c r="L513" s="53"/>
      <c r="P513" s="91"/>
      <c r="Q513" s="92"/>
      <c r="R513" s="93"/>
      <c r="S513" s="93"/>
      <c r="T513" s="53"/>
      <c r="U513" s="53"/>
    </row>
    <row r="514">
      <c r="A514" s="231"/>
      <c r="C514" s="232"/>
      <c r="D514" s="231"/>
      <c r="E514" s="56"/>
      <c r="F514" s="109"/>
      <c r="G514" s="53"/>
      <c r="H514" s="53"/>
      <c r="I514" s="53"/>
      <c r="J514" s="54"/>
      <c r="K514" s="60"/>
      <c r="L514" s="53"/>
      <c r="P514" s="91"/>
      <c r="Q514" s="92"/>
      <c r="R514" s="93"/>
      <c r="S514" s="93"/>
      <c r="T514" s="53"/>
      <c r="U514" s="53"/>
    </row>
    <row r="515">
      <c r="A515" s="231"/>
      <c r="C515" s="232"/>
      <c r="D515" s="231"/>
      <c r="E515" s="56"/>
      <c r="F515" s="109"/>
      <c r="G515" s="53"/>
      <c r="H515" s="53"/>
      <c r="I515" s="53"/>
      <c r="J515" s="54"/>
      <c r="K515" s="60"/>
      <c r="L515" s="53"/>
      <c r="P515" s="91"/>
      <c r="Q515" s="92"/>
      <c r="R515" s="93"/>
      <c r="S515" s="93"/>
      <c r="T515" s="53"/>
      <c r="U515" s="53"/>
    </row>
    <row r="516">
      <c r="A516" s="231"/>
      <c r="C516" s="232"/>
      <c r="D516" s="231"/>
      <c r="E516" s="56"/>
      <c r="F516" s="109"/>
      <c r="G516" s="53"/>
      <c r="H516" s="53"/>
      <c r="I516" s="53"/>
      <c r="J516" s="54"/>
      <c r="K516" s="60"/>
      <c r="L516" s="53"/>
      <c r="P516" s="91"/>
      <c r="Q516" s="92"/>
      <c r="R516" s="93"/>
      <c r="S516" s="93"/>
      <c r="T516" s="53"/>
      <c r="U516" s="53"/>
    </row>
    <row r="517">
      <c r="A517" s="231"/>
      <c r="C517" s="232"/>
      <c r="D517" s="231"/>
      <c r="E517" s="56"/>
      <c r="F517" s="109"/>
      <c r="G517" s="53"/>
      <c r="H517" s="53"/>
      <c r="I517" s="53"/>
      <c r="J517" s="54"/>
      <c r="K517" s="60"/>
      <c r="L517" s="53"/>
      <c r="P517" s="91"/>
      <c r="Q517" s="92"/>
      <c r="R517" s="93"/>
      <c r="S517" s="93"/>
      <c r="T517" s="53"/>
      <c r="U517" s="53"/>
    </row>
    <row r="518">
      <c r="A518" s="231"/>
      <c r="C518" s="232"/>
      <c r="D518" s="231"/>
      <c r="E518" s="56"/>
      <c r="F518" s="109"/>
      <c r="G518" s="53"/>
      <c r="H518" s="53"/>
      <c r="I518" s="53"/>
      <c r="J518" s="54"/>
      <c r="K518" s="60"/>
      <c r="L518" s="53"/>
      <c r="P518" s="91"/>
      <c r="Q518" s="92"/>
      <c r="R518" s="93"/>
      <c r="S518" s="93"/>
      <c r="T518" s="53"/>
      <c r="U518" s="53"/>
    </row>
    <row r="519">
      <c r="A519" s="231"/>
      <c r="C519" s="232"/>
      <c r="D519" s="231"/>
      <c r="E519" s="56"/>
      <c r="F519" s="109"/>
      <c r="G519" s="53"/>
      <c r="H519" s="53"/>
      <c r="I519" s="53"/>
      <c r="J519" s="54"/>
      <c r="K519" s="60"/>
      <c r="L519" s="53"/>
      <c r="P519" s="91"/>
      <c r="Q519" s="92"/>
      <c r="R519" s="93"/>
      <c r="S519" s="93"/>
      <c r="T519" s="53"/>
      <c r="U519" s="53"/>
    </row>
    <row r="520">
      <c r="A520" s="231"/>
      <c r="C520" s="232"/>
      <c r="D520" s="231"/>
      <c r="E520" s="56"/>
      <c r="F520" s="109"/>
      <c r="G520" s="53"/>
      <c r="H520" s="53"/>
      <c r="I520" s="53"/>
      <c r="J520" s="54"/>
      <c r="K520" s="60"/>
      <c r="L520" s="53"/>
      <c r="P520" s="91"/>
      <c r="Q520" s="92"/>
      <c r="R520" s="93"/>
      <c r="S520" s="93"/>
      <c r="T520" s="53"/>
      <c r="U520" s="53"/>
    </row>
    <row r="521">
      <c r="A521" s="231"/>
      <c r="C521" s="232"/>
      <c r="D521" s="231"/>
      <c r="E521" s="56"/>
      <c r="F521" s="109"/>
      <c r="G521" s="53"/>
      <c r="H521" s="53"/>
      <c r="I521" s="53"/>
      <c r="J521" s="54"/>
      <c r="K521" s="60"/>
      <c r="L521" s="53"/>
      <c r="P521" s="91"/>
      <c r="Q521" s="92"/>
      <c r="R521" s="93"/>
      <c r="S521" s="93"/>
      <c r="T521" s="53"/>
      <c r="U521" s="53"/>
    </row>
    <row r="522">
      <c r="A522" s="231"/>
      <c r="C522" s="232"/>
      <c r="D522" s="231"/>
      <c r="E522" s="56"/>
      <c r="F522" s="109"/>
      <c r="G522" s="53"/>
      <c r="H522" s="53"/>
      <c r="I522" s="53"/>
      <c r="J522" s="54"/>
      <c r="K522" s="60"/>
      <c r="L522" s="53"/>
      <c r="P522" s="91"/>
      <c r="Q522" s="92"/>
      <c r="R522" s="93"/>
      <c r="S522" s="93"/>
      <c r="T522" s="53"/>
      <c r="U522" s="53"/>
    </row>
    <row r="523">
      <c r="A523" s="231"/>
      <c r="C523" s="232"/>
      <c r="D523" s="231"/>
      <c r="E523" s="56"/>
      <c r="F523" s="109"/>
      <c r="G523" s="53"/>
      <c r="H523" s="53"/>
      <c r="I523" s="53"/>
      <c r="J523" s="54"/>
      <c r="K523" s="60"/>
      <c r="L523" s="53"/>
      <c r="P523" s="91"/>
      <c r="Q523" s="92"/>
      <c r="R523" s="93"/>
      <c r="S523" s="93"/>
      <c r="T523" s="53"/>
      <c r="U523" s="53"/>
    </row>
    <row r="524">
      <c r="A524" s="231"/>
      <c r="C524" s="232"/>
      <c r="D524" s="231"/>
      <c r="E524" s="56"/>
      <c r="F524" s="109"/>
      <c r="G524" s="53"/>
      <c r="H524" s="53"/>
      <c r="I524" s="53"/>
      <c r="J524" s="54"/>
      <c r="K524" s="60"/>
      <c r="L524" s="53"/>
      <c r="P524" s="91"/>
      <c r="Q524" s="92"/>
      <c r="R524" s="93"/>
      <c r="S524" s="93"/>
      <c r="T524" s="53"/>
      <c r="U524" s="53"/>
    </row>
    <row r="525">
      <c r="A525" s="231"/>
      <c r="C525" s="232"/>
      <c r="D525" s="231"/>
      <c r="E525" s="56"/>
      <c r="F525" s="109"/>
      <c r="G525" s="53"/>
      <c r="H525" s="53"/>
      <c r="I525" s="53"/>
      <c r="J525" s="54"/>
      <c r="K525" s="60"/>
      <c r="L525" s="53"/>
      <c r="P525" s="91"/>
      <c r="Q525" s="92"/>
      <c r="R525" s="93"/>
      <c r="S525" s="93"/>
      <c r="T525" s="53"/>
      <c r="U525" s="53"/>
    </row>
    <row r="526">
      <c r="A526" s="231"/>
      <c r="C526" s="232"/>
      <c r="D526" s="231"/>
      <c r="E526" s="56"/>
      <c r="F526" s="109"/>
      <c r="G526" s="53"/>
      <c r="H526" s="53"/>
      <c r="I526" s="53"/>
      <c r="J526" s="54"/>
      <c r="K526" s="60"/>
      <c r="L526" s="53"/>
      <c r="P526" s="91"/>
      <c r="Q526" s="92"/>
      <c r="R526" s="93"/>
      <c r="S526" s="93"/>
      <c r="T526" s="53"/>
      <c r="U526" s="53"/>
    </row>
    <row r="527">
      <c r="A527" s="231"/>
      <c r="C527" s="232"/>
      <c r="D527" s="231"/>
      <c r="E527" s="56"/>
      <c r="F527" s="109"/>
      <c r="G527" s="53"/>
      <c r="H527" s="53"/>
      <c r="I527" s="53"/>
      <c r="J527" s="54"/>
      <c r="K527" s="60"/>
      <c r="L527" s="53"/>
      <c r="P527" s="91"/>
      <c r="Q527" s="92"/>
      <c r="R527" s="93"/>
      <c r="S527" s="93"/>
      <c r="T527" s="53"/>
      <c r="U527" s="53"/>
    </row>
    <row r="528">
      <c r="A528" s="231"/>
      <c r="C528" s="232"/>
      <c r="D528" s="231"/>
      <c r="E528" s="56"/>
      <c r="F528" s="109"/>
      <c r="G528" s="53"/>
      <c r="H528" s="53"/>
      <c r="I528" s="53"/>
      <c r="J528" s="54"/>
      <c r="K528" s="60"/>
      <c r="L528" s="53"/>
      <c r="P528" s="91"/>
      <c r="Q528" s="92"/>
      <c r="R528" s="93"/>
      <c r="S528" s="93"/>
      <c r="T528" s="53"/>
      <c r="U528" s="53"/>
    </row>
    <row r="529">
      <c r="A529" s="231"/>
      <c r="C529" s="232"/>
      <c r="D529" s="231"/>
      <c r="E529" s="56"/>
      <c r="F529" s="109"/>
      <c r="G529" s="53"/>
      <c r="H529" s="53"/>
      <c r="I529" s="53"/>
      <c r="J529" s="54"/>
      <c r="K529" s="60"/>
      <c r="L529" s="53"/>
      <c r="P529" s="91"/>
      <c r="Q529" s="92"/>
      <c r="R529" s="93"/>
      <c r="S529" s="93"/>
      <c r="T529" s="53"/>
      <c r="U529" s="53"/>
    </row>
    <row r="530">
      <c r="A530" s="231"/>
      <c r="C530" s="232"/>
      <c r="D530" s="231"/>
      <c r="E530" s="56"/>
      <c r="F530" s="109"/>
      <c r="G530" s="53"/>
      <c r="H530" s="53"/>
      <c r="I530" s="53"/>
      <c r="J530" s="54"/>
      <c r="K530" s="60"/>
      <c r="L530" s="53"/>
      <c r="P530" s="91"/>
      <c r="Q530" s="92"/>
      <c r="R530" s="93"/>
      <c r="S530" s="93"/>
      <c r="T530" s="53"/>
      <c r="U530" s="53"/>
    </row>
    <row r="531">
      <c r="A531" s="231"/>
      <c r="C531" s="232"/>
      <c r="D531" s="231"/>
      <c r="E531" s="56"/>
      <c r="F531" s="109"/>
      <c r="G531" s="53"/>
      <c r="H531" s="53"/>
      <c r="I531" s="53"/>
      <c r="J531" s="54"/>
      <c r="K531" s="60"/>
      <c r="L531" s="53"/>
      <c r="P531" s="91"/>
      <c r="Q531" s="92"/>
      <c r="R531" s="93"/>
      <c r="S531" s="93"/>
      <c r="T531" s="53"/>
      <c r="U531" s="53"/>
    </row>
    <row r="532">
      <c r="A532" s="231"/>
      <c r="C532" s="232"/>
      <c r="D532" s="231"/>
      <c r="E532" s="56"/>
      <c r="F532" s="109"/>
      <c r="G532" s="53"/>
      <c r="H532" s="53"/>
      <c r="I532" s="53"/>
      <c r="J532" s="54"/>
      <c r="K532" s="60"/>
      <c r="L532" s="53"/>
      <c r="P532" s="91"/>
      <c r="Q532" s="92"/>
      <c r="R532" s="93"/>
      <c r="S532" s="93"/>
      <c r="T532" s="53"/>
      <c r="U532" s="53"/>
    </row>
    <row r="533">
      <c r="A533" s="231"/>
      <c r="C533" s="232"/>
      <c r="D533" s="231"/>
      <c r="E533" s="56"/>
      <c r="F533" s="109"/>
      <c r="G533" s="53"/>
      <c r="H533" s="53"/>
      <c r="I533" s="53"/>
      <c r="J533" s="54"/>
      <c r="K533" s="60"/>
      <c r="L533" s="53"/>
      <c r="P533" s="91"/>
      <c r="Q533" s="92"/>
      <c r="R533" s="93"/>
      <c r="S533" s="93"/>
      <c r="T533" s="53"/>
      <c r="U533" s="53"/>
    </row>
    <row r="534">
      <c r="A534" s="231"/>
      <c r="C534" s="232"/>
      <c r="D534" s="231"/>
      <c r="E534" s="56"/>
      <c r="F534" s="109"/>
      <c r="G534" s="53"/>
      <c r="H534" s="53"/>
      <c r="I534" s="53"/>
      <c r="J534" s="54"/>
      <c r="K534" s="60"/>
      <c r="L534" s="53"/>
      <c r="P534" s="91"/>
      <c r="Q534" s="92"/>
      <c r="R534" s="93"/>
      <c r="S534" s="93"/>
      <c r="T534" s="53"/>
      <c r="U534" s="53"/>
    </row>
    <row r="535">
      <c r="A535" s="231"/>
      <c r="C535" s="232"/>
      <c r="D535" s="231"/>
      <c r="E535" s="56"/>
      <c r="F535" s="109"/>
      <c r="G535" s="53"/>
      <c r="H535" s="53"/>
      <c r="I535" s="53"/>
      <c r="J535" s="54"/>
      <c r="K535" s="60"/>
      <c r="L535" s="53"/>
      <c r="P535" s="91"/>
      <c r="Q535" s="92"/>
      <c r="R535" s="93"/>
      <c r="S535" s="93"/>
      <c r="T535" s="53"/>
      <c r="U535" s="53"/>
    </row>
    <row r="536">
      <c r="A536" s="231"/>
      <c r="C536" s="232"/>
      <c r="D536" s="231"/>
      <c r="E536" s="56"/>
      <c r="F536" s="109"/>
      <c r="G536" s="53"/>
      <c r="H536" s="53"/>
      <c r="I536" s="53"/>
      <c r="J536" s="54"/>
      <c r="K536" s="60"/>
      <c r="L536" s="53"/>
      <c r="P536" s="91"/>
      <c r="Q536" s="92"/>
      <c r="R536" s="93"/>
      <c r="S536" s="93"/>
      <c r="T536" s="53"/>
      <c r="U536" s="53"/>
    </row>
    <row r="537">
      <c r="A537" s="231"/>
      <c r="C537" s="232"/>
      <c r="D537" s="231"/>
      <c r="E537" s="56"/>
      <c r="F537" s="109"/>
      <c r="G537" s="53"/>
      <c r="H537" s="53"/>
      <c r="I537" s="53"/>
      <c r="J537" s="54"/>
      <c r="K537" s="60"/>
      <c r="L537" s="53"/>
      <c r="P537" s="91"/>
      <c r="Q537" s="92"/>
      <c r="R537" s="93"/>
      <c r="S537" s="93"/>
      <c r="T537" s="53"/>
      <c r="U537" s="53"/>
    </row>
    <row r="538">
      <c r="A538" s="231"/>
      <c r="C538" s="232"/>
      <c r="D538" s="231"/>
      <c r="E538" s="56"/>
      <c r="F538" s="109"/>
      <c r="G538" s="53"/>
      <c r="H538" s="53"/>
      <c r="I538" s="53"/>
      <c r="J538" s="54"/>
      <c r="K538" s="60"/>
      <c r="L538" s="53"/>
      <c r="P538" s="91"/>
      <c r="Q538" s="92"/>
      <c r="R538" s="93"/>
      <c r="S538" s="93"/>
      <c r="T538" s="53"/>
      <c r="U538" s="53"/>
    </row>
    <row r="539">
      <c r="A539" s="231"/>
      <c r="C539" s="232"/>
      <c r="D539" s="231"/>
      <c r="E539" s="56"/>
      <c r="F539" s="109"/>
      <c r="G539" s="53"/>
      <c r="H539" s="53"/>
      <c r="I539" s="53"/>
      <c r="J539" s="54"/>
      <c r="K539" s="60"/>
      <c r="L539" s="53"/>
      <c r="P539" s="91"/>
      <c r="Q539" s="92"/>
      <c r="R539" s="93"/>
      <c r="S539" s="93"/>
      <c r="T539" s="53"/>
      <c r="U539" s="53"/>
    </row>
    <row r="540">
      <c r="A540" s="231"/>
      <c r="C540" s="232"/>
      <c r="D540" s="231"/>
      <c r="E540" s="56"/>
      <c r="F540" s="109"/>
      <c r="G540" s="53"/>
      <c r="H540" s="53"/>
      <c r="I540" s="53"/>
      <c r="J540" s="54"/>
      <c r="K540" s="60"/>
      <c r="L540" s="53"/>
      <c r="P540" s="91"/>
      <c r="Q540" s="92"/>
      <c r="R540" s="93"/>
      <c r="S540" s="93"/>
      <c r="T540" s="53"/>
      <c r="U540" s="53"/>
    </row>
    <row r="541">
      <c r="A541" s="231"/>
      <c r="C541" s="232"/>
      <c r="D541" s="231"/>
      <c r="E541" s="56"/>
      <c r="F541" s="109"/>
      <c r="G541" s="53"/>
      <c r="H541" s="53"/>
      <c r="I541" s="53"/>
      <c r="J541" s="54"/>
      <c r="K541" s="60"/>
      <c r="L541" s="53"/>
      <c r="P541" s="91"/>
      <c r="Q541" s="92"/>
      <c r="R541" s="93"/>
      <c r="S541" s="93"/>
      <c r="T541" s="53"/>
      <c r="U541" s="53"/>
    </row>
    <row r="542">
      <c r="A542" s="231"/>
      <c r="C542" s="232"/>
      <c r="D542" s="231"/>
      <c r="E542" s="56"/>
      <c r="F542" s="109"/>
      <c r="G542" s="53"/>
      <c r="H542" s="53"/>
      <c r="I542" s="53"/>
      <c r="J542" s="54"/>
      <c r="K542" s="60"/>
      <c r="L542" s="53"/>
      <c r="P542" s="91"/>
      <c r="Q542" s="92"/>
      <c r="R542" s="93"/>
      <c r="S542" s="93"/>
      <c r="T542" s="53"/>
      <c r="U542" s="53"/>
    </row>
    <row r="543">
      <c r="A543" s="231"/>
      <c r="C543" s="232"/>
      <c r="D543" s="231"/>
      <c r="E543" s="56"/>
      <c r="F543" s="109"/>
      <c r="G543" s="53"/>
      <c r="H543" s="53"/>
      <c r="I543" s="53"/>
      <c r="J543" s="54"/>
      <c r="K543" s="60"/>
      <c r="L543" s="53"/>
      <c r="P543" s="91"/>
      <c r="Q543" s="92"/>
      <c r="R543" s="93"/>
      <c r="S543" s="93"/>
      <c r="T543" s="53"/>
      <c r="U543" s="53"/>
    </row>
    <row r="544">
      <c r="A544" s="231"/>
      <c r="C544" s="232"/>
      <c r="D544" s="231"/>
      <c r="E544" s="56"/>
      <c r="F544" s="109"/>
      <c r="G544" s="53"/>
      <c r="H544" s="53"/>
      <c r="I544" s="53"/>
      <c r="J544" s="54"/>
      <c r="K544" s="60"/>
      <c r="L544" s="53"/>
      <c r="P544" s="91"/>
      <c r="Q544" s="92"/>
      <c r="R544" s="93"/>
      <c r="S544" s="93"/>
      <c r="T544" s="53"/>
      <c r="U544" s="53"/>
    </row>
    <row r="545">
      <c r="A545" s="231"/>
      <c r="C545" s="232"/>
      <c r="D545" s="231"/>
      <c r="E545" s="56"/>
      <c r="F545" s="109"/>
      <c r="G545" s="53"/>
      <c r="H545" s="53"/>
      <c r="I545" s="53"/>
      <c r="J545" s="54"/>
      <c r="K545" s="60"/>
      <c r="L545" s="53"/>
      <c r="P545" s="91"/>
      <c r="Q545" s="92"/>
      <c r="R545" s="93"/>
      <c r="S545" s="93"/>
      <c r="T545" s="53"/>
      <c r="U545" s="53"/>
    </row>
    <row r="546">
      <c r="A546" s="231"/>
      <c r="C546" s="232"/>
      <c r="D546" s="231"/>
      <c r="E546" s="56"/>
      <c r="F546" s="109"/>
      <c r="G546" s="53"/>
      <c r="H546" s="53"/>
      <c r="I546" s="53"/>
      <c r="J546" s="54"/>
      <c r="K546" s="60"/>
      <c r="L546" s="53"/>
      <c r="P546" s="91"/>
      <c r="Q546" s="92"/>
      <c r="R546" s="93"/>
      <c r="S546" s="93"/>
      <c r="T546" s="53"/>
      <c r="U546" s="53"/>
    </row>
    <row r="547">
      <c r="A547" s="231"/>
      <c r="C547" s="232"/>
      <c r="D547" s="231"/>
      <c r="E547" s="56"/>
      <c r="F547" s="109"/>
      <c r="G547" s="53"/>
      <c r="H547" s="53"/>
      <c r="I547" s="53"/>
      <c r="J547" s="54"/>
      <c r="K547" s="60"/>
      <c r="L547" s="53"/>
      <c r="P547" s="91"/>
      <c r="Q547" s="92"/>
      <c r="R547" s="93"/>
      <c r="S547" s="93"/>
      <c r="T547" s="53"/>
      <c r="U547" s="53"/>
    </row>
    <row r="548">
      <c r="A548" s="231"/>
      <c r="C548" s="232"/>
      <c r="D548" s="231"/>
      <c r="E548" s="56"/>
      <c r="F548" s="109"/>
      <c r="G548" s="53"/>
      <c r="H548" s="53"/>
      <c r="I548" s="53"/>
      <c r="J548" s="54"/>
      <c r="K548" s="60"/>
      <c r="L548" s="53"/>
      <c r="P548" s="91"/>
      <c r="Q548" s="92"/>
      <c r="R548" s="93"/>
      <c r="S548" s="93"/>
      <c r="T548" s="53"/>
      <c r="U548" s="53"/>
    </row>
    <row r="549">
      <c r="A549" s="231"/>
      <c r="C549" s="232"/>
      <c r="D549" s="231"/>
      <c r="E549" s="56"/>
      <c r="F549" s="109"/>
      <c r="G549" s="53"/>
      <c r="H549" s="53"/>
      <c r="I549" s="53"/>
      <c r="J549" s="54"/>
      <c r="K549" s="60"/>
      <c r="L549" s="53"/>
      <c r="P549" s="91"/>
      <c r="Q549" s="92"/>
      <c r="R549" s="93"/>
      <c r="S549" s="93"/>
      <c r="T549" s="53"/>
      <c r="U549" s="53"/>
    </row>
    <row r="550">
      <c r="A550" s="231"/>
      <c r="C550" s="232"/>
      <c r="D550" s="231"/>
      <c r="E550" s="56"/>
      <c r="F550" s="109"/>
      <c r="G550" s="53"/>
      <c r="H550" s="53"/>
      <c r="I550" s="53"/>
      <c r="J550" s="54"/>
      <c r="K550" s="60"/>
      <c r="L550" s="53"/>
      <c r="P550" s="91"/>
      <c r="Q550" s="92"/>
      <c r="R550" s="93"/>
      <c r="S550" s="93"/>
      <c r="T550" s="53"/>
      <c r="U550" s="53"/>
    </row>
    <row r="551">
      <c r="A551" s="231"/>
      <c r="C551" s="232"/>
      <c r="D551" s="231"/>
      <c r="E551" s="56"/>
      <c r="F551" s="109"/>
      <c r="G551" s="53"/>
      <c r="H551" s="53"/>
      <c r="I551" s="53"/>
      <c r="J551" s="54"/>
      <c r="K551" s="60"/>
      <c r="L551" s="53"/>
      <c r="P551" s="91"/>
      <c r="Q551" s="92"/>
      <c r="R551" s="93"/>
      <c r="S551" s="93"/>
      <c r="T551" s="53"/>
      <c r="U551" s="53"/>
    </row>
    <row r="552">
      <c r="A552" s="231"/>
      <c r="C552" s="232"/>
      <c r="D552" s="231"/>
      <c r="E552" s="56"/>
      <c r="F552" s="109"/>
      <c r="G552" s="53"/>
      <c r="H552" s="53"/>
      <c r="I552" s="53"/>
      <c r="J552" s="54"/>
      <c r="K552" s="60"/>
      <c r="L552" s="53"/>
      <c r="P552" s="91"/>
      <c r="Q552" s="92"/>
      <c r="R552" s="93"/>
      <c r="S552" s="93"/>
      <c r="T552" s="53"/>
      <c r="U552" s="53"/>
    </row>
    <row r="553">
      <c r="A553" s="231"/>
      <c r="C553" s="232"/>
      <c r="D553" s="231"/>
      <c r="E553" s="56"/>
      <c r="F553" s="109"/>
      <c r="G553" s="53"/>
      <c r="H553" s="53"/>
      <c r="I553" s="53"/>
      <c r="J553" s="54"/>
      <c r="K553" s="60"/>
      <c r="L553" s="53"/>
      <c r="P553" s="91"/>
      <c r="Q553" s="92"/>
      <c r="R553" s="93"/>
      <c r="S553" s="93"/>
      <c r="T553" s="53"/>
      <c r="U553" s="53"/>
    </row>
    <row r="554">
      <c r="A554" s="231"/>
      <c r="C554" s="232"/>
      <c r="D554" s="231"/>
      <c r="E554" s="56"/>
      <c r="F554" s="109"/>
      <c r="G554" s="53"/>
      <c r="H554" s="53"/>
      <c r="I554" s="53"/>
      <c r="J554" s="54"/>
      <c r="K554" s="60"/>
      <c r="L554" s="53"/>
      <c r="P554" s="91"/>
      <c r="Q554" s="92"/>
      <c r="R554" s="93"/>
      <c r="S554" s="93"/>
      <c r="T554" s="53"/>
      <c r="U554" s="53"/>
    </row>
    <row r="555">
      <c r="A555" s="231"/>
      <c r="C555" s="232"/>
      <c r="D555" s="231"/>
      <c r="E555" s="56"/>
      <c r="F555" s="109"/>
      <c r="G555" s="53"/>
      <c r="H555" s="53"/>
      <c r="I555" s="53"/>
      <c r="J555" s="54"/>
      <c r="K555" s="60"/>
      <c r="L555" s="53"/>
      <c r="P555" s="91"/>
      <c r="Q555" s="92"/>
      <c r="R555" s="93"/>
      <c r="S555" s="93"/>
      <c r="T555" s="53"/>
      <c r="U555" s="53"/>
    </row>
    <row r="556">
      <c r="A556" s="231"/>
      <c r="C556" s="232"/>
      <c r="D556" s="231"/>
      <c r="E556" s="56"/>
      <c r="F556" s="109"/>
      <c r="G556" s="53"/>
      <c r="H556" s="53"/>
      <c r="I556" s="53"/>
      <c r="J556" s="54"/>
      <c r="K556" s="60"/>
      <c r="L556" s="53"/>
      <c r="P556" s="91"/>
      <c r="Q556" s="92"/>
      <c r="R556" s="93"/>
      <c r="S556" s="93"/>
      <c r="T556" s="53"/>
      <c r="U556" s="53"/>
    </row>
    <row r="557">
      <c r="A557" s="231"/>
      <c r="C557" s="232"/>
      <c r="D557" s="231"/>
      <c r="E557" s="56"/>
      <c r="F557" s="109"/>
      <c r="G557" s="53"/>
      <c r="H557" s="53"/>
      <c r="I557" s="53"/>
      <c r="J557" s="54"/>
      <c r="K557" s="60"/>
      <c r="L557" s="53"/>
      <c r="P557" s="91"/>
      <c r="Q557" s="92"/>
      <c r="R557" s="93"/>
      <c r="S557" s="93"/>
      <c r="T557" s="53"/>
      <c r="U557" s="53"/>
    </row>
    <row r="558">
      <c r="A558" s="231"/>
      <c r="C558" s="232"/>
      <c r="D558" s="231"/>
      <c r="E558" s="56"/>
      <c r="F558" s="109"/>
      <c r="G558" s="53"/>
      <c r="H558" s="53"/>
      <c r="I558" s="53"/>
      <c r="J558" s="54"/>
      <c r="K558" s="60"/>
      <c r="L558" s="53"/>
      <c r="P558" s="91"/>
      <c r="Q558" s="92"/>
      <c r="R558" s="93"/>
      <c r="S558" s="93"/>
      <c r="T558" s="53"/>
      <c r="U558" s="53"/>
    </row>
    <row r="559">
      <c r="A559" s="231"/>
      <c r="C559" s="232"/>
      <c r="D559" s="231"/>
      <c r="E559" s="56"/>
      <c r="F559" s="109"/>
      <c r="G559" s="53"/>
      <c r="H559" s="53"/>
      <c r="I559" s="53"/>
      <c r="J559" s="54"/>
      <c r="K559" s="60"/>
      <c r="L559" s="53"/>
      <c r="P559" s="91"/>
      <c r="Q559" s="92"/>
      <c r="R559" s="93"/>
      <c r="S559" s="93"/>
      <c r="T559" s="53"/>
      <c r="U559" s="53"/>
    </row>
    <row r="560">
      <c r="A560" s="231"/>
      <c r="C560" s="232"/>
      <c r="D560" s="231"/>
      <c r="E560" s="56"/>
      <c r="F560" s="109"/>
      <c r="G560" s="53"/>
      <c r="H560" s="53"/>
      <c r="I560" s="53"/>
      <c r="J560" s="54"/>
      <c r="K560" s="60"/>
      <c r="L560" s="53"/>
      <c r="P560" s="91"/>
      <c r="Q560" s="92"/>
      <c r="R560" s="93"/>
      <c r="S560" s="93"/>
      <c r="T560" s="53"/>
      <c r="U560" s="53"/>
    </row>
    <row r="561">
      <c r="A561" s="231"/>
      <c r="C561" s="232"/>
      <c r="D561" s="231"/>
      <c r="E561" s="56"/>
      <c r="F561" s="109"/>
      <c r="G561" s="53"/>
      <c r="H561" s="53"/>
      <c r="I561" s="53"/>
      <c r="J561" s="54"/>
      <c r="K561" s="60"/>
      <c r="L561" s="53"/>
      <c r="P561" s="91"/>
      <c r="Q561" s="92"/>
      <c r="R561" s="93"/>
      <c r="S561" s="93"/>
      <c r="T561" s="53"/>
      <c r="U561" s="53"/>
    </row>
    <row r="562">
      <c r="A562" s="231"/>
      <c r="C562" s="232"/>
      <c r="D562" s="231"/>
      <c r="E562" s="56"/>
      <c r="F562" s="109"/>
      <c r="G562" s="53"/>
      <c r="H562" s="53"/>
      <c r="I562" s="53"/>
      <c r="J562" s="54"/>
      <c r="K562" s="60"/>
      <c r="L562" s="53"/>
      <c r="P562" s="91"/>
      <c r="Q562" s="92"/>
      <c r="R562" s="93"/>
      <c r="S562" s="93"/>
      <c r="T562" s="53"/>
      <c r="U562" s="53"/>
    </row>
    <row r="563">
      <c r="A563" s="231"/>
      <c r="C563" s="232"/>
      <c r="D563" s="231"/>
      <c r="E563" s="56"/>
      <c r="F563" s="109"/>
      <c r="G563" s="53"/>
      <c r="H563" s="53"/>
      <c r="I563" s="53"/>
      <c r="J563" s="54"/>
      <c r="K563" s="60"/>
      <c r="L563" s="53"/>
      <c r="P563" s="91"/>
      <c r="Q563" s="92"/>
      <c r="R563" s="93"/>
      <c r="S563" s="93"/>
      <c r="T563" s="53"/>
      <c r="U563" s="53"/>
    </row>
    <row r="564">
      <c r="A564" s="231"/>
      <c r="C564" s="232"/>
      <c r="D564" s="231"/>
      <c r="E564" s="56"/>
      <c r="F564" s="109"/>
      <c r="G564" s="53"/>
      <c r="H564" s="53"/>
      <c r="I564" s="53"/>
      <c r="J564" s="54"/>
      <c r="K564" s="60"/>
      <c r="L564" s="53"/>
      <c r="P564" s="91"/>
      <c r="Q564" s="92"/>
      <c r="R564" s="93"/>
      <c r="S564" s="93"/>
      <c r="T564" s="53"/>
      <c r="U564" s="53"/>
    </row>
    <row r="565">
      <c r="A565" s="231"/>
      <c r="C565" s="232"/>
      <c r="D565" s="231"/>
      <c r="E565" s="56"/>
      <c r="F565" s="109"/>
      <c r="G565" s="53"/>
      <c r="H565" s="53"/>
      <c r="I565" s="53"/>
      <c r="J565" s="54"/>
      <c r="K565" s="60"/>
      <c r="L565" s="53"/>
      <c r="P565" s="91"/>
      <c r="Q565" s="92"/>
      <c r="R565" s="93"/>
      <c r="S565" s="93"/>
      <c r="T565" s="53"/>
      <c r="U565" s="53"/>
    </row>
    <row r="566">
      <c r="A566" s="231"/>
      <c r="C566" s="232"/>
      <c r="D566" s="231"/>
      <c r="E566" s="56"/>
      <c r="F566" s="109"/>
      <c r="G566" s="53"/>
      <c r="H566" s="53"/>
      <c r="I566" s="53"/>
      <c r="J566" s="54"/>
      <c r="K566" s="60"/>
      <c r="L566" s="53"/>
      <c r="P566" s="91"/>
      <c r="Q566" s="92"/>
      <c r="R566" s="93"/>
      <c r="S566" s="93"/>
      <c r="T566" s="53"/>
      <c r="U566" s="53"/>
    </row>
    <row r="567">
      <c r="A567" s="231"/>
      <c r="C567" s="232"/>
      <c r="D567" s="231"/>
      <c r="E567" s="56"/>
      <c r="F567" s="109"/>
      <c r="G567" s="53"/>
      <c r="H567" s="53"/>
      <c r="I567" s="53"/>
      <c r="J567" s="54"/>
      <c r="K567" s="60"/>
      <c r="L567" s="53"/>
      <c r="P567" s="91"/>
      <c r="Q567" s="92"/>
      <c r="R567" s="93"/>
      <c r="S567" s="93"/>
      <c r="T567" s="53"/>
      <c r="U567" s="53"/>
    </row>
    <row r="568">
      <c r="A568" s="231"/>
      <c r="C568" s="232"/>
      <c r="D568" s="231"/>
      <c r="E568" s="56"/>
      <c r="F568" s="109"/>
      <c r="G568" s="53"/>
      <c r="H568" s="53"/>
      <c r="I568" s="53"/>
      <c r="J568" s="54"/>
      <c r="K568" s="60"/>
      <c r="L568" s="53"/>
      <c r="P568" s="91"/>
      <c r="Q568" s="92"/>
      <c r="R568" s="93"/>
      <c r="S568" s="93"/>
      <c r="T568" s="53"/>
      <c r="U568" s="53"/>
    </row>
    <row r="569">
      <c r="A569" s="231"/>
      <c r="C569" s="232"/>
      <c r="D569" s="231"/>
      <c r="E569" s="56"/>
      <c r="F569" s="109"/>
      <c r="G569" s="53"/>
      <c r="H569" s="53"/>
      <c r="I569" s="53"/>
      <c r="J569" s="54"/>
      <c r="K569" s="60"/>
      <c r="L569" s="53"/>
      <c r="P569" s="91"/>
      <c r="Q569" s="92"/>
      <c r="R569" s="93"/>
      <c r="S569" s="93"/>
      <c r="T569" s="53"/>
      <c r="U569" s="53"/>
    </row>
    <row r="570">
      <c r="A570" s="231"/>
      <c r="C570" s="232"/>
      <c r="D570" s="231"/>
      <c r="E570" s="56"/>
      <c r="F570" s="109"/>
      <c r="G570" s="53"/>
      <c r="H570" s="53"/>
      <c r="I570" s="53"/>
      <c r="J570" s="54"/>
      <c r="K570" s="60"/>
      <c r="L570" s="53"/>
      <c r="P570" s="91"/>
      <c r="Q570" s="92"/>
      <c r="R570" s="93"/>
      <c r="S570" s="93"/>
      <c r="T570" s="53"/>
      <c r="U570" s="53"/>
    </row>
    <row r="571">
      <c r="A571" s="231"/>
      <c r="C571" s="232"/>
      <c r="D571" s="231"/>
      <c r="E571" s="56"/>
      <c r="F571" s="109"/>
      <c r="G571" s="53"/>
      <c r="H571" s="53"/>
      <c r="I571" s="53"/>
      <c r="J571" s="54"/>
      <c r="K571" s="60"/>
      <c r="L571" s="53"/>
      <c r="P571" s="91"/>
      <c r="Q571" s="92"/>
      <c r="R571" s="93"/>
      <c r="S571" s="93"/>
      <c r="T571" s="53"/>
      <c r="U571" s="53"/>
    </row>
    <row r="572">
      <c r="A572" s="231"/>
      <c r="C572" s="232"/>
      <c r="D572" s="231"/>
      <c r="E572" s="56"/>
      <c r="F572" s="109"/>
      <c r="G572" s="53"/>
      <c r="H572" s="53"/>
      <c r="I572" s="53"/>
      <c r="J572" s="54"/>
      <c r="K572" s="60"/>
      <c r="L572" s="53"/>
      <c r="P572" s="91"/>
      <c r="Q572" s="92"/>
      <c r="R572" s="93"/>
      <c r="S572" s="93"/>
      <c r="T572" s="53"/>
      <c r="U572" s="53"/>
    </row>
    <row r="573">
      <c r="A573" s="231"/>
      <c r="C573" s="232"/>
      <c r="D573" s="231"/>
      <c r="E573" s="56"/>
      <c r="F573" s="109"/>
      <c r="G573" s="53"/>
      <c r="H573" s="53"/>
      <c r="I573" s="53"/>
      <c r="J573" s="54"/>
      <c r="K573" s="60"/>
      <c r="L573" s="53"/>
      <c r="P573" s="91"/>
      <c r="Q573" s="92"/>
      <c r="R573" s="93"/>
      <c r="S573" s="93"/>
      <c r="T573" s="53"/>
      <c r="U573" s="53"/>
    </row>
    <row r="574">
      <c r="A574" s="231"/>
      <c r="C574" s="232"/>
      <c r="D574" s="231"/>
      <c r="E574" s="56"/>
      <c r="F574" s="109"/>
      <c r="G574" s="53"/>
      <c r="H574" s="53"/>
      <c r="I574" s="53"/>
      <c r="J574" s="54"/>
      <c r="K574" s="60"/>
      <c r="L574" s="53"/>
      <c r="P574" s="91"/>
      <c r="Q574" s="92"/>
      <c r="R574" s="93"/>
      <c r="S574" s="93"/>
      <c r="T574" s="53"/>
      <c r="U574" s="53"/>
    </row>
    <row r="575">
      <c r="A575" s="231"/>
      <c r="C575" s="232"/>
      <c r="D575" s="231"/>
      <c r="E575" s="56"/>
      <c r="F575" s="109"/>
      <c r="G575" s="53"/>
      <c r="H575" s="53"/>
      <c r="I575" s="53"/>
      <c r="J575" s="54"/>
      <c r="K575" s="60"/>
      <c r="L575" s="53"/>
      <c r="P575" s="91"/>
      <c r="Q575" s="92"/>
      <c r="R575" s="93"/>
      <c r="S575" s="93"/>
      <c r="T575" s="53"/>
      <c r="U575" s="53"/>
    </row>
    <row r="576">
      <c r="A576" s="231"/>
      <c r="C576" s="232"/>
      <c r="D576" s="231"/>
      <c r="E576" s="56"/>
      <c r="F576" s="109"/>
      <c r="G576" s="53"/>
      <c r="H576" s="53"/>
      <c r="I576" s="53"/>
      <c r="J576" s="54"/>
      <c r="K576" s="60"/>
      <c r="L576" s="53"/>
      <c r="P576" s="91"/>
      <c r="Q576" s="92"/>
      <c r="R576" s="93"/>
      <c r="S576" s="93"/>
      <c r="T576" s="53"/>
      <c r="U576" s="53"/>
    </row>
    <row r="577">
      <c r="A577" s="231"/>
      <c r="C577" s="232"/>
      <c r="D577" s="231"/>
      <c r="E577" s="56"/>
      <c r="F577" s="109"/>
      <c r="G577" s="53"/>
      <c r="H577" s="53"/>
      <c r="I577" s="53"/>
      <c r="J577" s="54"/>
      <c r="K577" s="60"/>
      <c r="L577" s="53"/>
      <c r="P577" s="91"/>
      <c r="Q577" s="92"/>
      <c r="R577" s="93"/>
      <c r="S577" s="93"/>
      <c r="T577" s="53"/>
      <c r="U577" s="53"/>
    </row>
    <row r="578">
      <c r="A578" s="231"/>
      <c r="C578" s="232"/>
      <c r="D578" s="231"/>
      <c r="E578" s="56"/>
      <c r="F578" s="109"/>
      <c r="G578" s="53"/>
      <c r="H578" s="53"/>
      <c r="I578" s="53"/>
      <c r="J578" s="54"/>
      <c r="K578" s="60"/>
      <c r="L578" s="53"/>
      <c r="P578" s="91"/>
      <c r="Q578" s="92"/>
      <c r="R578" s="93"/>
      <c r="S578" s="93"/>
      <c r="T578" s="53"/>
      <c r="U578" s="53"/>
    </row>
    <row r="579">
      <c r="A579" s="231"/>
      <c r="C579" s="232"/>
      <c r="D579" s="231"/>
      <c r="E579" s="56"/>
      <c r="F579" s="109"/>
      <c r="G579" s="53"/>
      <c r="H579" s="53"/>
      <c r="I579" s="53"/>
      <c r="J579" s="54"/>
      <c r="K579" s="60"/>
      <c r="L579" s="53"/>
      <c r="P579" s="91"/>
      <c r="Q579" s="92"/>
      <c r="R579" s="93"/>
      <c r="S579" s="93"/>
      <c r="T579" s="53"/>
      <c r="U579" s="53"/>
    </row>
    <row r="580">
      <c r="A580" s="231"/>
      <c r="C580" s="232"/>
      <c r="D580" s="231"/>
      <c r="E580" s="56"/>
      <c r="F580" s="109"/>
      <c r="G580" s="53"/>
      <c r="H580" s="53"/>
      <c r="I580" s="53"/>
      <c r="J580" s="54"/>
      <c r="K580" s="60"/>
      <c r="L580" s="53"/>
      <c r="P580" s="91"/>
      <c r="Q580" s="92"/>
      <c r="R580" s="93"/>
      <c r="S580" s="93"/>
      <c r="T580" s="53"/>
      <c r="U580" s="53"/>
    </row>
    <row r="581">
      <c r="A581" s="231"/>
      <c r="C581" s="232"/>
      <c r="D581" s="231"/>
      <c r="E581" s="56"/>
      <c r="F581" s="109"/>
      <c r="G581" s="53"/>
      <c r="H581" s="53"/>
      <c r="I581" s="53"/>
      <c r="J581" s="54"/>
      <c r="K581" s="60"/>
      <c r="L581" s="53"/>
      <c r="P581" s="91"/>
      <c r="Q581" s="92"/>
      <c r="R581" s="93"/>
      <c r="S581" s="93"/>
      <c r="T581" s="53"/>
      <c r="U581" s="53"/>
    </row>
    <row r="582">
      <c r="A582" s="231"/>
      <c r="C582" s="232"/>
      <c r="D582" s="231"/>
      <c r="E582" s="56"/>
      <c r="F582" s="109"/>
      <c r="G582" s="53"/>
      <c r="H582" s="53"/>
      <c r="I582" s="53"/>
      <c r="J582" s="54"/>
      <c r="K582" s="60"/>
      <c r="L582" s="53"/>
      <c r="P582" s="91"/>
      <c r="Q582" s="92"/>
      <c r="R582" s="93"/>
      <c r="S582" s="93"/>
      <c r="T582" s="53"/>
      <c r="U582" s="53"/>
    </row>
    <row r="583">
      <c r="A583" s="231"/>
      <c r="C583" s="232"/>
      <c r="D583" s="231"/>
      <c r="E583" s="56"/>
      <c r="F583" s="109"/>
      <c r="G583" s="53"/>
      <c r="H583" s="53"/>
      <c r="I583" s="53"/>
      <c r="J583" s="54"/>
      <c r="K583" s="60"/>
      <c r="L583" s="53"/>
      <c r="P583" s="91"/>
      <c r="Q583" s="92"/>
      <c r="R583" s="93"/>
      <c r="S583" s="93"/>
      <c r="T583" s="53"/>
      <c r="U583" s="53"/>
    </row>
    <row r="584">
      <c r="A584" s="231"/>
      <c r="C584" s="232"/>
      <c r="D584" s="231"/>
      <c r="E584" s="56"/>
      <c r="F584" s="109"/>
      <c r="G584" s="53"/>
      <c r="H584" s="53"/>
      <c r="I584" s="53"/>
      <c r="J584" s="54"/>
      <c r="K584" s="60"/>
      <c r="L584" s="53"/>
      <c r="P584" s="91"/>
      <c r="Q584" s="92"/>
      <c r="R584" s="93"/>
      <c r="S584" s="93"/>
      <c r="T584" s="53"/>
      <c r="U584" s="53"/>
    </row>
    <row r="585">
      <c r="A585" s="231"/>
      <c r="C585" s="232"/>
      <c r="D585" s="231"/>
      <c r="E585" s="56"/>
      <c r="F585" s="109"/>
      <c r="G585" s="53"/>
      <c r="H585" s="53"/>
      <c r="I585" s="53"/>
      <c r="J585" s="54"/>
      <c r="K585" s="60"/>
      <c r="L585" s="53"/>
      <c r="P585" s="91"/>
      <c r="Q585" s="92"/>
      <c r="R585" s="93"/>
      <c r="S585" s="93"/>
      <c r="T585" s="53"/>
      <c r="U585" s="53"/>
    </row>
    <row r="586">
      <c r="A586" s="231"/>
      <c r="C586" s="232"/>
      <c r="D586" s="231"/>
      <c r="E586" s="56"/>
      <c r="F586" s="109"/>
      <c r="G586" s="53"/>
      <c r="H586" s="53"/>
      <c r="I586" s="53"/>
      <c r="J586" s="54"/>
      <c r="K586" s="60"/>
      <c r="L586" s="53"/>
      <c r="P586" s="91"/>
      <c r="Q586" s="92"/>
      <c r="R586" s="93"/>
      <c r="S586" s="93"/>
      <c r="T586" s="53"/>
      <c r="U586" s="53"/>
    </row>
    <row r="587">
      <c r="A587" s="231"/>
      <c r="C587" s="232"/>
      <c r="D587" s="231"/>
      <c r="E587" s="56"/>
      <c r="F587" s="109"/>
      <c r="G587" s="53"/>
      <c r="H587" s="53"/>
      <c r="I587" s="53"/>
      <c r="J587" s="54"/>
      <c r="K587" s="60"/>
      <c r="L587" s="53"/>
      <c r="P587" s="91"/>
      <c r="Q587" s="92"/>
      <c r="R587" s="93"/>
      <c r="S587" s="93"/>
      <c r="T587" s="53"/>
      <c r="U587" s="53"/>
    </row>
    <row r="588">
      <c r="A588" s="231"/>
      <c r="C588" s="232"/>
      <c r="D588" s="231"/>
      <c r="E588" s="56"/>
      <c r="F588" s="109"/>
      <c r="G588" s="53"/>
      <c r="H588" s="53"/>
      <c r="I588" s="53"/>
      <c r="J588" s="54"/>
      <c r="K588" s="60"/>
      <c r="L588" s="53"/>
      <c r="P588" s="91"/>
      <c r="Q588" s="92"/>
      <c r="R588" s="93"/>
      <c r="S588" s="93"/>
      <c r="T588" s="53"/>
      <c r="U588" s="53"/>
    </row>
    <row r="589">
      <c r="A589" s="231"/>
      <c r="C589" s="232"/>
      <c r="D589" s="231"/>
      <c r="E589" s="56"/>
      <c r="F589" s="109"/>
      <c r="G589" s="53"/>
      <c r="H589" s="53"/>
      <c r="I589" s="53"/>
      <c r="J589" s="54"/>
      <c r="K589" s="60"/>
      <c r="L589" s="53"/>
      <c r="P589" s="91"/>
      <c r="Q589" s="92"/>
      <c r="R589" s="93"/>
      <c r="S589" s="93"/>
      <c r="T589" s="53"/>
      <c r="U589" s="53"/>
    </row>
    <row r="590">
      <c r="A590" s="231"/>
      <c r="C590" s="232"/>
      <c r="D590" s="231"/>
      <c r="E590" s="56"/>
      <c r="F590" s="109"/>
      <c r="G590" s="53"/>
      <c r="H590" s="53"/>
      <c r="I590" s="53"/>
      <c r="J590" s="54"/>
      <c r="K590" s="60"/>
      <c r="L590" s="53"/>
      <c r="P590" s="91"/>
      <c r="Q590" s="92"/>
      <c r="R590" s="93"/>
      <c r="S590" s="93"/>
      <c r="T590" s="53"/>
      <c r="U590" s="53"/>
    </row>
    <row r="591">
      <c r="A591" s="231"/>
      <c r="C591" s="232"/>
      <c r="D591" s="231"/>
      <c r="E591" s="56"/>
      <c r="F591" s="109"/>
      <c r="G591" s="53"/>
      <c r="H591" s="53"/>
      <c r="I591" s="53"/>
      <c r="J591" s="54"/>
      <c r="K591" s="60"/>
      <c r="L591" s="53"/>
      <c r="P591" s="91"/>
      <c r="Q591" s="92"/>
      <c r="R591" s="93"/>
      <c r="S591" s="93"/>
      <c r="T591" s="53"/>
      <c r="U591" s="53"/>
    </row>
    <row r="592">
      <c r="A592" s="231"/>
      <c r="C592" s="232"/>
      <c r="D592" s="231"/>
      <c r="E592" s="56"/>
      <c r="F592" s="109"/>
      <c r="G592" s="53"/>
      <c r="H592" s="53"/>
      <c r="I592" s="53"/>
      <c r="J592" s="54"/>
      <c r="K592" s="60"/>
      <c r="L592" s="53"/>
      <c r="P592" s="91"/>
      <c r="Q592" s="92"/>
      <c r="R592" s="93"/>
      <c r="S592" s="93"/>
      <c r="T592" s="53"/>
      <c r="U592" s="53"/>
    </row>
    <row r="593">
      <c r="A593" s="231"/>
      <c r="C593" s="232"/>
      <c r="D593" s="231"/>
      <c r="E593" s="56"/>
      <c r="F593" s="109"/>
      <c r="G593" s="53"/>
      <c r="H593" s="53"/>
      <c r="I593" s="53"/>
      <c r="J593" s="54"/>
      <c r="K593" s="60"/>
      <c r="L593" s="53"/>
      <c r="P593" s="91"/>
      <c r="Q593" s="92"/>
      <c r="R593" s="93"/>
      <c r="S593" s="93"/>
      <c r="T593" s="53"/>
      <c r="U593" s="53"/>
    </row>
    <row r="594">
      <c r="A594" s="231"/>
      <c r="C594" s="232"/>
      <c r="D594" s="231"/>
      <c r="E594" s="56"/>
      <c r="F594" s="109"/>
      <c r="G594" s="53"/>
      <c r="H594" s="53"/>
      <c r="I594" s="53"/>
      <c r="J594" s="54"/>
      <c r="K594" s="60"/>
      <c r="L594" s="53"/>
      <c r="P594" s="91"/>
      <c r="Q594" s="92"/>
      <c r="R594" s="93"/>
      <c r="S594" s="93"/>
      <c r="T594" s="53"/>
      <c r="U594" s="53"/>
    </row>
    <row r="595">
      <c r="A595" s="231"/>
      <c r="C595" s="232"/>
      <c r="D595" s="231"/>
      <c r="E595" s="56"/>
      <c r="F595" s="109"/>
      <c r="G595" s="53"/>
      <c r="H595" s="53"/>
      <c r="I595" s="53"/>
      <c r="J595" s="54"/>
      <c r="K595" s="60"/>
      <c r="L595" s="53"/>
      <c r="P595" s="91"/>
      <c r="Q595" s="92"/>
      <c r="R595" s="93"/>
      <c r="S595" s="93"/>
      <c r="T595" s="53"/>
      <c r="U595" s="53"/>
    </row>
    <row r="596">
      <c r="A596" s="231"/>
      <c r="C596" s="232"/>
      <c r="D596" s="231"/>
      <c r="E596" s="56"/>
      <c r="F596" s="109"/>
      <c r="G596" s="53"/>
      <c r="H596" s="53"/>
      <c r="I596" s="53"/>
      <c r="J596" s="54"/>
      <c r="K596" s="60"/>
      <c r="L596" s="53"/>
      <c r="P596" s="91"/>
      <c r="Q596" s="92"/>
      <c r="R596" s="93"/>
      <c r="S596" s="93"/>
      <c r="T596" s="53"/>
      <c r="U596" s="53"/>
    </row>
    <row r="597">
      <c r="A597" s="231"/>
      <c r="C597" s="232"/>
      <c r="D597" s="231"/>
      <c r="E597" s="56"/>
      <c r="F597" s="109"/>
      <c r="G597" s="53"/>
      <c r="H597" s="53"/>
      <c r="I597" s="53"/>
      <c r="J597" s="54"/>
      <c r="K597" s="60"/>
      <c r="L597" s="53"/>
      <c r="P597" s="91"/>
      <c r="Q597" s="92"/>
      <c r="R597" s="93"/>
      <c r="S597" s="93"/>
      <c r="T597" s="53"/>
      <c r="U597" s="53"/>
    </row>
    <row r="598">
      <c r="A598" s="231"/>
      <c r="C598" s="232"/>
      <c r="D598" s="231"/>
      <c r="E598" s="56"/>
      <c r="F598" s="109"/>
      <c r="G598" s="53"/>
      <c r="H598" s="53"/>
      <c r="I598" s="53"/>
      <c r="J598" s="54"/>
      <c r="K598" s="60"/>
      <c r="L598" s="53"/>
      <c r="P598" s="91"/>
      <c r="Q598" s="92"/>
      <c r="R598" s="93"/>
      <c r="S598" s="93"/>
      <c r="T598" s="53"/>
      <c r="U598" s="53"/>
    </row>
    <row r="599">
      <c r="A599" s="231"/>
      <c r="C599" s="232"/>
      <c r="D599" s="231"/>
      <c r="E599" s="56"/>
      <c r="F599" s="109"/>
      <c r="G599" s="53"/>
      <c r="H599" s="53"/>
      <c r="I599" s="53"/>
      <c r="J599" s="54"/>
      <c r="K599" s="60"/>
      <c r="L599" s="53"/>
      <c r="P599" s="91"/>
      <c r="Q599" s="92"/>
      <c r="R599" s="93"/>
      <c r="S599" s="93"/>
      <c r="T599" s="53"/>
      <c r="U599" s="53"/>
    </row>
    <row r="600">
      <c r="A600" s="231"/>
      <c r="C600" s="232"/>
      <c r="D600" s="231"/>
      <c r="E600" s="56"/>
      <c r="F600" s="109"/>
      <c r="G600" s="53"/>
      <c r="H600" s="53"/>
      <c r="I600" s="53"/>
      <c r="J600" s="54"/>
      <c r="K600" s="60"/>
      <c r="L600" s="53"/>
      <c r="P600" s="91"/>
      <c r="Q600" s="92"/>
      <c r="R600" s="93"/>
      <c r="S600" s="93"/>
      <c r="T600" s="53"/>
      <c r="U600" s="53"/>
    </row>
    <row r="601">
      <c r="A601" s="231"/>
      <c r="C601" s="232"/>
      <c r="D601" s="231"/>
      <c r="E601" s="56"/>
      <c r="F601" s="109"/>
      <c r="G601" s="53"/>
      <c r="H601" s="53"/>
      <c r="I601" s="53"/>
      <c r="J601" s="54"/>
      <c r="K601" s="60"/>
      <c r="L601" s="53"/>
      <c r="P601" s="91"/>
      <c r="Q601" s="92"/>
      <c r="R601" s="93"/>
      <c r="S601" s="93"/>
      <c r="T601" s="53"/>
      <c r="U601" s="53"/>
    </row>
    <row r="602">
      <c r="A602" s="231"/>
      <c r="C602" s="232"/>
      <c r="D602" s="231"/>
      <c r="E602" s="56"/>
      <c r="F602" s="109"/>
      <c r="G602" s="53"/>
      <c r="H602" s="53"/>
      <c r="I602" s="53"/>
      <c r="J602" s="54"/>
      <c r="K602" s="60"/>
      <c r="L602" s="53"/>
      <c r="P602" s="91"/>
      <c r="Q602" s="92"/>
      <c r="R602" s="93"/>
      <c r="S602" s="93"/>
      <c r="T602" s="53"/>
      <c r="U602" s="53"/>
    </row>
    <row r="603">
      <c r="A603" s="231"/>
      <c r="C603" s="232"/>
      <c r="D603" s="231"/>
      <c r="E603" s="56"/>
      <c r="F603" s="109"/>
      <c r="G603" s="53"/>
      <c r="H603" s="53"/>
      <c r="I603" s="53"/>
      <c r="J603" s="54"/>
      <c r="K603" s="60"/>
      <c r="L603" s="53"/>
      <c r="P603" s="91"/>
      <c r="Q603" s="92"/>
      <c r="R603" s="93"/>
      <c r="S603" s="93"/>
      <c r="T603" s="53"/>
      <c r="U603" s="53"/>
    </row>
    <row r="604">
      <c r="A604" s="231"/>
      <c r="C604" s="232"/>
      <c r="D604" s="231"/>
      <c r="E604" s="56"/>
      <c r="F604" s="109"/>
      <c r="G604" s="53"/>
      <c r="H604" s="53"/>
      <c r="I604" s="53"/>
      <c r="J604" s="54"/>
      <c r="K604" s="60"/>
      <c r="L604" s="53"/>
      <c r="P604" s="91"/>
      <c r="Q604" s="92"/>
      <c r="R604" s="93"/>
      <c r="S604" s="93"/>
      <c r="T604" s="53"/>
      <c r="U604" s="53"/>
    </row>
    <row r="605">
      <c r="A605" s="231"/>
      <c r="C605" s="232"/>
      <c r="D605" s="231"/>
      <c r="E605" s="56"/>
      <c r="F605" s="109"/>
      <c r="G605" s="53"/>
      <c r="H605" s="53"/>
      <c r="I605" s="53"/>
      <c r="J605" s="54"/>
      <c r="K605" s="60"/>
      <c r="L605" s="53"/>
      <c r="P605" s="91"/>
      <c r="Q605" s="92"/>
      <c r="R605" s="93"/>
      <c r="S605" s="93"/>
      <c r="T605" s="53"/>
      <c r="U605" s="53"/>
    </row>
    <row r="606">
      <c r="A606" s="231"/>
      <c r="C606" s="232"/>
      <c r="D606" s="231"/>
      <c r="E606" s="56"/>
      <c r="F606" s="109"/>
      <c r="G606" s="53"/>
      <c r="H606" s="53"/>
      <c r="I606" s="53"/>
      <c r="J606" s="54"/>
      <c r="K606" s="60"/>
      <c r="L606" s="53"/>
      <c r="P606" s="91"/>
      <c r="Q606" s="92"/>
      <c r="R606" s="93"/>
      <c r="S606" s="93"/>
      <c r="T606" s="53"/>
      <c r="U606" s="53"/>
    </row>
    <row r="607">
      <c r="A607" s="231"/>
      <c r="C607" s="232"/>
      <c r="D607" s="231"/>
      <c r="E607" s="56"/>
      <c r="F607" s="109"/>
      <c r="G607" s="53"/>
      <c r="H607" s="53"/>
      <c r="I607" s="53"/>
      <c r="J607" s="54"/>
      <c r="K607" s="60"/>
      <c r="L607" s="53"/>
      <c r="P607" s="91"/>
      <c r="Q607" s="92"/>
      <c r="R607" s="93"/>
      <c r="S607" s="93"/>
      <c r="T607" s="53"/>
      <c r="U607" s="53"/>
    </row>
    <row r="608">
      <c r="A608" s="231"/>
      <c r="C608" s="232"/>
      <c r="D608" s="231"/>
      <c r="E608" s="56"/>
      <c r="F608" s="109"/>
      <c r="G608" s="53"/>
      <c r="H608" s="53"/>
      <c r="I608" s="53"/>
      <c r="J608" s="54"/>
      <c r="K608" s="60"/>
      <c r="L608" s="53"/>
      <c r="P608" s="91"/>
      <c r="Q608" s="92"/>
      <c r="R608" s="93"/>
      <c r="S608" s="93"/>
      <c r="T608" s="53"/>
      <c r="U608" s="53"/>
    </row>
    <row r="609">
      <c r="A609" s="231"/>
      <c r="C609" s="232"/>
      <c r="D609" s="231"/>
      <c r="E609" s="56"/>
      <c r="F609" s="109"/>
      <c r="G609" s="53"/>
      <c r="H609" s="53"/>
      <c r="I609" s="53"/>
      <c r="J609" s="54"/>
      <c r="K609" s="60"/>
      <c r="L609" s="53"/>
      <c r="P609" s="91"/>
      <c r="Q609" s="92"/>
      <c r="R609" s="93"/>
      <c r="S609" s="93"/>
      <c r="T609" s="53"/>
      <c r="U609" s="53"/>
    </row>
    <row r="610">
      <c r="A610" s="231"/>
      <c r="C610" s="232"/>
      <c r="D610" s="231"/>
      <c r="E610" s="56"/>
      <c r="F610" s="109"/>
      <c r="G610" s="53"/>
      <c r="H610" s="53"/>
      <c r="I610" s="53"/>
      <c r="J610" s="54"/>
      <c r="K610" s="60"/>
      <c r="L610" s="53"/>
      <c r="P610" s="91"/>
      <c r="Q610" s="92"/>
      <c r="R610" s="93"/>
      <c r="S610" s="93"/>
      <c r="T610" s="53"/>
      <c r="U610" s="53"/>
    </row>
    <row r="611">
      <c r="A611" s="231"/>
      <c r="C611" s="232"/>
      <c r="D611" s="231"/>
      <c r="E611" s="56"/>
      <c r="F611" s="109"/>
      <c r="G611" s="53"/>
      <c r="H611" s="53"/>
      <c r="I611" s="53"/>
      <c r="J611" s="54"/>
      <c r="K611" s="60"/>
      <c r="L611" s="53"/>
      <c r="P611" s="91"/>
      <c r="Q611" s="92"/>
      <c r="R611" s="93"/>
      <c r="S611" s="93"/>
      <c r="T611" s="53"/>
      <c r="U611" s="53"/>
    </row>
    <row r="612">
      <c r="A612" s="231"/>
      <c r="C612" s="232"/>
      <c r="D612" s="231"/>
      <c r="E612" s="56"/>
      <c r="F612" s="109"/>
      <c r="G612" s="53"/>
      <c r="H612" s="53"/>
      <c r="I612" s="53"/>
      <c r="J612" s="54"/>
      <c r="K612" s="60"/>
      <c r="L612" s="53"/>
      <c r="P612" s="91"/>
      <c r="Q612" s="92"/>
      <c r="R612" s="93"/>
      <c r="S612" s="93"/>
      <c r="T612" s="53"/>
      <c r="U612" s="53"/>
    </row>
    <row r="613">
      <c r="A613" s="231"/>
      <c r="C613" s="232"/>
      <c r="D613" s="231"/>
      <c r="E613" s="56"/>
      <c r="F613" s="109"/>
      <c r="G613" s="53"/>
      <c r="H613" s="53"/>
      <c r="I613" s="53"/>
      <c r="J613" s="54"/>
      <c r="K613" s="60"/>
      <c r="L613" s="53"/>
      <c r="P613" s="91"/>
      <c r="Q613" s="92"/>
      <c r="R613" s="93"/>
      <c r="S613" s="93"/>
      <c r="T613" s="53"/>
      <c r="U613" s="53"/>
    </row>
    <row r="614">
      <c r="A614" s="231"/>
      <c r="C614" s="232"/>
      <c r="D614" s="231"/>
      <c r="E614" s="56"/>
      <c r="F614" s="109"/>
      <c r="G614" s="53"/>
      <c r="H614" s="53"/>
      <c r="I614" s="53"/>
      <c r="J614" s="54"/>
      <c r="K614" s="60"/>
      <c r="L614" s="53"/>
      <c r="P614" s="91"/>
      <c r="Q614" s="92"/>
      <c r="R614" s="93"/>
      <c r="S614" s="93"/>
      <c r="T614" s="53"/>
      <c r="U614" s="53"/>
    </row>
    <row r="615">
      <c r="A615" s="231"/>
      <c r="C615" s="232"/>
      <c r="D615" s="231"/>
      <c r="E615" s="56"/>
      <c r="F615" s="109"/>
      <c r="G615" s="53"/>
      <c r="H615" s="53"/>
      <c r="I615" s="53"/>
      <c r="J615" s="54"/>
      <c r="K615" s="60"/>
      <c r="L615" s="53"/>
      <c r="P615" s="91"/>
      <c r="Q615" s="92"/>
      <c r="R615" s="93"/>
      <c r="S615" s="93"/>
      <c r="T615" s="53"/>
      <c r="U615" s="53"/>
    </row>
    <row r="616">
      <c r="A616" s="231"/>
      <c r="C616" s="232"/>
      <c r="D616" s="231"/>
      <c r="E616" s="56"/>
      <c r="F616" s="109"/>
      <c r="G616" s="53"/>
      <c r="H616" s="53"/>
      <c r="I616" s="53"/>
      <c r="J616" s="54"/>
      <c r="K616" s="60"/>
      <c r="L616" s="53"/>
      <c r="P616" s="91"/>
      <c r="Q616" s="92"/>
      <c r="R616" s="93"/>
      <c r="S616" s="93"/>
      <c r="T616" s="53"/>
      <c r="U616" s="53"/>
    </row>
    <row r="617">
      <c r="A617" s="231"/>
      <c r="C617" s="232"/>
      <c r="D617" s="231"/>
      <c r="E617" s="56"/>
      <c r="F617" s="109"/>
      <c r="G617" s="53"/>
      <c r="H617" s="53"/>
      <c r="I617" s="53"/>
      <c r="J617" s="54"/>
      <c r="K617" s="60"/>
      <c r="L617" s="53"/>
      <c r="P617" s="91"/>
      <c r="Q617" s="92"/>
      <c r="R617" s="93"/>
      <c r="S617" s="93"/>
      <c r="T617" s="53"/>
      <c r="U617" s="53"/>
    </row>
    <row r="618">
      <c r="A618" s="231"/>
      <c r="C618" s="232"/>
      <c r="D618" s="231"/>
      <c r="E618" s="56"/>
      <c r="F618" s="109"/>
      <c r="G618" s="53"/>
      <c r="H618" s="53"/>
      <c r="I618" s="53"/>
      <c r="J618" s="54"/>
      <c r="K618" s="60"/>
      <c r="L618" s="53"/>
      <c r="P618" s="91"/>
      <c r="Q618" s="92"/>
      <c r="R618" s="93"/>
      <c r="S618" s="93"/>
      <c r="T618" s="53"/>
      <c r="U618" s="53"/>
    </row>
    <row r="619">
      <c r="A619" s="231"/>
      <c r="C619" s="232"/>
      <c r="D619" s="231"/>
      <c r="E619" s="56"/>
      <c r="F619" s="109"/>
      <c r="G619" s="53"/>
      <c r="H619" s="53"/>
      <c r="I619" s="53"/>
      <c r="J619" s="54"/>
      <c r="K619" s="60"/>
      <c r="L619" s="53"/>
      <c r="P619" s="91"/>
      <c r="Q619" s="92"/>
      <c r="R619" s="93"/>
      <c r="S619" s="93"/>
      <c r="T619" s="53"/>
      <c r="U619" s="53"/>
    </row>
    <row r="620">
      <c r="A620" s="231"/>
      <c r="C620" s="232"/>
      <c r="D620" s="231"/>
      <c r="E620" s="56"/>
      <c r="F620" s="109"/>
      <c r="G620" s="53"/>
      <c r="H620" s="53"/>
      <c r="I620" s="53"/>
      <c r="J620" s="54"/>
      <c r="K620" s="60"/>
      <c r="L620" s="53"/>
      <c r="P620" s="91"/>
      <c r="Q620" s="92"/>
      <c r="R620" s="93"/>
      <c r="S620" s="93"/>
      <c r="T620" s="53"/>
      <c r="U620" s="53"/>
    </row>
    <row r="621">
      <c r="A621" s="231"/>
      <c r="C621" s="232"/>
      <c r="D621" s="231"/>
      <c r="E621" s="56"/>
      <c r="F621" s="109"/>
      <c r="G621" s="53"/>
      <c r="H621" s="53"/>
      <c r="I621" s="53"/>
      <c r="J621" s="54"/>
      <c r="K621" s="60"/>
      <c r="L621" s="53"/>
      <c r="P621" s="91"/>
      <c r="Q621" s="92"/>
      <c r="R621" s="93"/>
      <c r="S621" s="93"/>
      <c r="T621" s="53"/>
      <c r="U621" s="53"/>
    </row>
    <row r="622">
      <c r="A622" s="231"/>
      <c r="C622" s="232"/>
      <c r="D622" s="231"/>
      <c r="E622" s="56"/>
      <c r="F622" s="109"/>
      <c r="G622" s="53"/>
      <c r="H622" s="53"/>
      <c r="I622" s="53"/>
      <c r="J622" s="54"/>
      <c r="K622" s="60"/>
      <c r="L622" s="53"/>
      <c r="P622" s="91"/>
      <c r="Q622" s="92"/>
      <c r="R622" s="93"/>
      <c r="S622" s="93"/>
      <c r="T622" s="53"/>
      <c r="U622" s="53"/>
    </row>
    <row r="623">
      <c r="A623" s="231"/>
      <c r="C623" s="232"/>
      <c r="D623" s="231"/>
      <c r="E623" s="56"/>
      <c r="F623" s="109"/>
      <c r="G623" s="53"/>
      <c r="H623" s="53"/>
      <c r="I623" s="53"/>
      <c r="J623" s="54"/>
      <c r="K623" s="60"/>
      <c r="L623" s="53"/>
      <c r="P623" s="91"/>
      <c r="Q623" s="92"/>
      <c r="R623" s="93"/>
      <c r="S623" s="93"/>
      <c r="T623" s="53"/>
      <c r="U623" s="53"/>
    </row>
    <row r="624">
      <c r="A624" s="231"/>
      <c r="C624" s="232"/>
      <c r="D624" s="231"/>
      <c r="E624" s="56"/>
      <c r="F624" s="109"/>
      <c r="G624" s="53"/>
      <c r="H624" s="53"/>
      <c r="I624" s="53"/>
      <c r="J624" s="54"/>
      <c r="K624" s="60"/>
      <c r="L624" s="53"/>
      <c r="P624" s="91"/>
      <c r="Q624" s="92"/>
      <c r="R624" s="93"/>
      <c r="S624" s="93"/>
      <c r="T624" s="53"/>
      <c r="U624" s="53"/>
    </row>
    <row r="625">
      <c r="A625" s="231"/>
      <c r="C625" s="232"/>
      <c r="D625" s="231"/>
      <c r="E625" s="56"/>
      <c r="F625" s="109"/>
      <c r="G625" s="53"/>
      <c r="H625" s="53"/>
      <c r="I625" s="53"/>
      <c r="J625" s="54"/>
      <c r="K625" s="60"/>
      <c r="L625" s="53"/>
      <c r="P625" s="91"/>
      <c r="Q625" s="92"/>
      <c r="R625" s="93"/>
      <c r="S625" s="93"/>
      <c r="T625" s="53"/>
      <c r="U625" s="53"/>
    </row>
    <row r="626">
      <c r="A626" s="231"/>
      <c r="C626" s="232"/>
      <c r="D626" s="231"/>
      <c r="E626" s="56"/>
      <c r="F626" s="109"/>
      <c r="G626" s="53"/>
      <c r="H626" s="53"/>
      <c r="I626" s="53"/>
      <c r="J626" s="54"/>
      <c r="K626" s="60"/>
      <c r="L626" s="53"/>
      <c r="P626" s="91"/>
      <c r="Q626" s="92"/>
      <c r="R626" s="93"/>
      <c r="S626" s="93"/>
      <c r="T626" s="53"/>
      <c r="U626" s="53"/>
    </row>
    <row r="627">
      <c r="A627" s="231"/>
      <c r="C627" s="232"/>
      <c r="D627" s="231"/>
      <c r="E627" s="56"/>
      <c r="F627" s="109"/>
      <c r="G627" s="53"/>
      <c r="H627" s="53"/>
      <c r="I627" s="53"/>
      <c r="J627" s="54"/>
      <c r="K627" s="60"/>
      <c r="L627" s="53"/>
      <c r="P627" s="91"/>
      <c r="Q627" s="92"/>
      <c r="R627" s="93"/>
      <c r="S627" s="93"/>
      <c r="T627" s="53"/>
      <c r="U627" s="53"/>
    </row>
    <row r="628">
      <c r="A628" s="231"/>
      <c r="C628" s="232"/>
      <c r="D628" s="231"/>
      <c r="E628" s="56"/>
      <c r="F628" s="109"/>
      <c r="G628" s="53"/>
      <c r="H628" s="53"/>
      <c r="I628" s="53"/>
      <c r="J628" s="54"/>
      <c r="K628" s="60"/>
      <c r="L628" s="53"/>
      <c r="P628" s="91"/>
      <c r="Q628" s="92"/>
      <c r="R628" s="93"/>
      <c r="S628" s="93"/>
      <c r="T628" s="53"/>
      <c r="U628" s="53"/>
    </row>
    <row r="629">
      <c r="A629" s="231"/>
      <c r="C629" s="232"/>
      <c r="D629" s="231"/>
      <c r="E629" s="56"/>
      <c r="F629" s="109"/>
      <c r="G629" s="53"/>
      <c r="H629" s="53"/>
      <c r="I629" s="53"/>
      <c r="J629" s="54"/>
      <c r="K629" s="60"/>
      <c r="L629" s="53"/>
      <c r="P629" s="91"/>
      <c r="Q629" s="92"/>
      <c r="R629" s="93"/>
      <c r="S629" s="93"/>
      <c r="T629" s="53"/>
      <c r="U629" s="53"/>
    </row>
    <row r="630">
      <c r="A630" s="231"/>
      <c r="C630" s="232"/>
      <c r="D630" s="231"/>
      <c r="E630" s="56"/>
      <c r="F630" s="109"/>
      <c r="G630" s="53"/>
      <c r="H630" s="53"/>
      <c r="I630" s="53"/>
      <c r="J630" s="54"/>
      <c r="K630" s="60"/>
      <c r="L630" s="53"/>
      <c r="P630" s="91"/>
      <c r="Q630" s="92"/>
      <c r="R630" s="93"/>
      <c r="S630" s="93"/>
      <c r="T630" s="53"/>
      <c r="U630" s="53"/>
    </row>
    <row r="631">
      <c r="A631" s="231"/>
      <c r="C631" s="232"/>
      <c r="D631" s="231"/>
      <c r="E631" s="56"/>
      <c r="F631" s="109"/>
      <c r="G631" s="53"/>
      <c r="H631" s="53"/>
      <c r="I631" s="53"/>
      <c r="J631" s="54"/>
      <c r="K631" s="60"/>
      <c r="L631" s="53"/>
      <c r="P631" s="91"/>
      <c r="Q631" s="92"/>
      <c r="R631" s="93"/>
      <c r="S631" s="93"/>
      <c r="T631" s="53"/>
      <c r="U631" s="53"/>
    </row>
    <row r="632">
      <c r="A632" s="231"/>
      <c r="C632" s="232"/>
      <c r="D632" s="231"/>
      <c r="E632" s="56"/>
      <c r="F632" s="109"/>
      <c r="G632" s="53"/>
      <c r="H632" s="53"/>
      <c r="I632" s="53"/>
      <c r="J632" s="54"/>
      <c r="K632" s="60"/>
      <c r="L632" s="53"/>
      <c r="P632" s="91"/>
      <c r="Q632" s="92"/>
      <c r="R632" s="93"/>
      <c r="S632" s="93"/>
      <c r="T632" s="53"/>
      <c r="U632" s="53"/>
    </row>
    <row r="633">
      <c r="A633" s="231"/>
      <c r="C633" s="232"/>
      <c r="D633" s="231"/>
      <c r="E633" s="56"/>
      <c r="F633" s="109"/>
      <c r="G633" s="53"/>
      <c r="H633" s="53"/>
      <c r="I633" s="53"/>
      <c r="J633" s="54"/>
      <c r="K633" s="60"/>
      <c r="L633" s="53"/>
      <c r="P633" s="91"/>
      <c r="Q633" s="92"/>
      <c r="R633" s="93"/>
      <c r="S633" s="93"/>
      <c r="T633" s="53"/>
      <c r="U633" s="53"/>
    </row>
    <row r="634">
      <c r="A634" s="231"/>
      <c r="C634" s="232"/>
      <c r="D634" s="231"/>
      <c r="E634" s="56"/>
      <c r="F634" s="109"/>
      <c r="G634" s="53"/>
      <c r="H634" s="53"/>
      <c r="I634" s="53"/>
      <c r="J634" s="54"/>
      <c r="K634" s="60"/>
      <c r="L634" s="53"/>
      <c r="P634" s="91"/>
      <c r="Q634" s="92"/>
      <c r="R634" s="93"/>
      <c r="S634" s="93"/>
      <c r="T634" s="53"/>
      <c r="U634" s="53"/>
    </row>
    <row r="635">
      <c r="A635" s="231"/>
      <c r="C635" s="232"/>
      <c r="D635" s="231"/>
      <c r="E635" s="56"/>
      <c r="F635" s="109"/>
      <c r="G635" s="53"/>
      <c r="H635" s="53"/>
      <c r="I635" s="53"/>
      <c r="J635" s="54"/>
      <c r="K635" s="60"/>
      <c r="L635" s="53"/>
      <c r="P635" s="91"/>
      <c r="Q635" s="92"/>
      <c r="R635" s="93"/>
      <c r="S635" s="93"/>
      <c r="T635" s="53"/>
      <c r="U635" s="53"/>
    </row>
    <row r="636">
      <c r="A636" s="231"/>
      <c r="C636" s="232"/>
      <c r="D636" s="231"/>
      <c r="E636" s="56"/>
      <c r="F636" s="109"/>
      <c r="G636" s="53"/>
      <c r="H636" s="53"/>
      <c r="I636" s="53"/>
      <c r="J636" s="54"/>
      <c r="K636" s="60"/>
      <c r="L636" s="53"/>
      <c r="P636" s="91"/>
      <c r="Q636" s="92"/>
      <c r="R636" s="93"/>
      <c r="S636" s="93"/>
      <c r="T636" s="53"/>
      <c r="U636" s="53"/>
    </row>
    <row r="637">
      <c r="A637" s="231"/>
      <c r="C637" s="232"/>
      <c r="D637" s="231"/>
      <c r="E637" s="56"/>
      <c r="F637" s="109"/>
      <c r="G637" s="53"/>
      <c r="H637" s="53"/>
      <c r="I637" s="53"/>
      <c r="J637" s="54"/>
      <c r="K637" s="60"/>
      <c r="L637" s="53"/>
      <c r="P637" s="91"/>
      <c r="Q637" s="92"/>
      <c r="R637" s="93"/>
      <c r="S637" s="93"/>
      <c r="T637" s="53"/>
      <c r="U637" s="53"/>
    </row>
    <row r="638">
      <c r="A638" s="231"/>
      <c r="C638" s="232"/>
      <c r="D638" s="231"/>
      <c r="E638" s="56"/>
      <c r="F638" s="109"/>
      <c r="G638" s="53"/>
      <c r="H638" s="53"/>
      <c r="I638" s="53"/>
      <c r="J638" s="54"/>
      <c r="K638" s="60"/>
      <c r="L638" s="53"/>
      <c r="P638" s="91"/>
      <c r="Q638" s="92"/>
      <c r="R638" s="93"/>
      <c r="S638" s="93"/>
      <c r="T638" s="53"/>
      <c r="U638" s="53"/>
    </row>
    <row r="639">
      <c r="A639" s="231"/>
      <c r="C639" s="232"/>
      <c r="D639" s="231"/>
      <c r="E639" s="56"/>
      <c r="F639" s="109"/>
      <c r="G639" s="53"/>
      <c r="H639" s="53"/>
      <c r="I639" s="53"/>
      <c r="J639" s="54"/>
      <c r="K639" s="60"/>
      <c r="L639" s="53"/>
      <c r="P639" s="91"/>
      <c r="Q639" s="92"/>
      <c r="R639" s="93"/>
      <c r="S639" s="93"/>
      <c r="T639" s="53"/>
      <c r="U639" s="53"/>
    </row>
    <row r="640">
      <c r="A640" s="231"/>
      <c r="C640" s="232"/>
      <c r="D640" s="231"/>
      <c r="E640" s="56"/>
      <c r="F640" s="109"/>
      <c r="G640" s="53"/>
      <c r="H640" s="53"/>
      <c r="I640" s="53"/>
      <c r="J640" s="54"/>
      <c r="K640" s="60"/>
      <c r="L640" s="53"/>
      <c r="P640" s="91"/>
      <c r="Q640" s="92"/>
      <c r="R640" s="93"/>
      <c r="S640" s="93"/>
      <c r="T640" s="53"/>
      <c r="U640" s="53"/>
    </row>
    <row r="641">
      <c r="A641" s="231"/>
      <c r="C641" s="232"/>
      <c r="D641" s="231"/>
      <c r="E641" s="56"/>
      <c r="F641" s="109"/>
      <c r="G641" s="53"/>
      <c r="H641" s="53"/>
      <c r="I641" s="53"/>
      <c r="J641" s="54"/>
      <c r="K641" s="60"/>
      <c r="L641" s="53"/>
      <c r="P641" s="91"/>
      <c r="Q641" s="92"/>
      <c r="R641" s="93"/>
      <c r="S641" s="93"/>
      <c r="T641" s="53"/>
      <c r="U641" s="53"/>
    </row>
    <row r="642">
      <c r="A642" s="231"/>
      <c r="C642" s="232"/>
      <c r="D642" s="231"/>
      <c r="E642" s="56"/>
      <c r="F642" s="109"/>
      <c r="G642" s="53"/>
      <c r="H642" s="53"/>
      <c r="I642" s="53"/>
      <c r="J642" s="54"/>
      <c r="K642" s="60"/>
      <c r="L642" s="53"/>
      <c r="P642" s="91"/>
      <c r="Q642" s="92"/>
      <c r="R642" s="93"/>
      <c r="S642" s="93"/>
      <c r="T642" s="53"/>
      <c r="U642" s="53"/>
    </row>
    <row r="643">
      <c r="A643" s="231"/>
      <c r="C643" s="232"/>
      <c r="D643" s="231"/>
      <c r="E643" s="56"/>
      <c r="F643" s="109"/>
      <c r="G643" s="53"/>
      <c r="H643" s="53"/>
      <c r="I643" s="53"/>
      <c r="J643" s="54"/>
      <c r="K643" s="60"/>
      <c r="L643" s="53"/>
      <c r="P643" s="91"/>
      <c r="Q643" s="92"/>
      <c r="R643" s="93"/>
      <c r="S643" s="93"/>
      <c r="T643" s="53"/>
      <c r="U643" s="53"/>
    </row>
    <row r="644">
      <c r="A644" s="231"/>
      <c r="C644" s="232"/>
      <c r="D644" s="231"/>
      <c r="E644" s="56"/>
      <c r="F644" s="109"/>
      <c r="G644" s="53"/>
      <c r="H644" s="53"/>
      <c r="I644" s="53"/>
      <c r="J644" s="54"/>
      <c r="K644" s="60"/>
      <c r="L644" s="53"/>
      <c r="P644" s="91"/>
      <c r="Q644" s="92"/>
      <c r="R644" s="93"/>
      <c r="S644" s="93"/>
      <c r="T644" s="53"/>
      <c r="U644" s="53"/>
    </row>
    <row r="645">
      <c r="A645" s="231"/>
      <c r="C645" s="232"/>
      <c r="D645" s="231"/>
      <c r="E645" s="56"/>
      <c r="F645" s="109"/>
      <c r="G645" s="53"/>
      <c r="H645" s="53"/>
      <c r="I645" s="53"/>
      <c r="J645" s="54"/>
      <c r="K645" s="60"/>
      <c r="L645" s="53"/>
      <c r="P645" s="91"/>
      <c r="Q645" s="92"/>
      <c r="R645" s="93"/>
      <c r="S645" s="93"/>
      <c r="T645" s="53"/>
      <c r="U645" s="53"/>
    </row>
    <row r="646">
      <c r="A646" s="231"/>
      <c r="C646" s="232"/>
      <c r="D646" s="231"/>
      <c r="E646" s="56"/>
      <c r="F646" s="109"/>
      <c r="G646" s="53"/>
      <c r="H646" s="53"/>
      <c r="I646" s="53"/>
      <c r="J646" s="54"/>
      <c r="K646" s="60"/>
      <c r="L646" s="53"/>
      <c r="P646" s="91"/>
      <c r="Q646" s="92"/>
      <c r="R646" s="93"/>
      <c r="S646" s="93"/>
      <c r="T646" s="53"/>
      <c r="U646" s="53"/>
    </row>
    <row r="647">
      <c r="A647" s="231"/>
      <c r="C647" s="232"/>
      <c r="D647" s="231"/>
      <c r="E647" s="56"/>
      <c r="F647" s="109"/>
      <c r="G647" s="53"/>
      <c r="H647" s="53"/>
      <c r="I647" s="53"/>
      <c r="J647" s="54"/>
      <c r="K647" s="60"/>
      <c r="L647" s="53"/>
      <c r="P647" s="91"/>
      <c r="Q647" s="92"/>
      <c r="R647" s="93"/>
      <c r="S647" s="93"/>
      <c r="T647" s="53"/>
      <c r="U647" s="53"/>
    </row>
    <row r="648">
      <c r="A648" s="231"/>
      <c r="C648" s="232"/>
      <c r="D648" s="231"/>
      <c r="E648" s="56"/>
      <c r="F648" s="109"/>
      <c r="G648" s="53"/>
      <c r="H648" s="53"/>
      <c r="I648" s="53"/>
      <c r="J648" s="54"/>
      <c r="K648" s="60"/>
      <c r="L648" s="53"/>
      <c r="P648" s="91"/>
      <c r="Q648" s="92"/>
      <c r="R648" s="93"/>
      <c r="S648" s="93"/>
      <c r="T648" s="53"/>
      <c r="U648" s="53"/>
    </row>
    <row r="649">
      <c r="A649" s="231"/>
      <c r="C649" s="232"/>
      <c r="D649" s="231"/>
      <c r="E649" s="56"/>
      <c r="F649" s="109"/>
      <c r="G649" s="53"/>
      <c r="H649" s="53"/>
      <c r="I649" s="53"/>
      <c r="J649" s="54"/>
      <c r="K649" s="60"/>
      <c r="L649" s="53"/>
      <c r="P649" s="91"/>
      <c r="Q649" s="92"/>
      <c r="R649" s="93"/>
      <c r="S649" s="93"/>
      <c r="T649" s="53"/>
      <c r="U649" s="53"/>
    </row>
    <row r="650">
      <c r="A650" s="231"/>
      <c r="C650" s="232"/>
      <c r="D650" s="231"/>
      <c r="E650" s="56"/>
      <c r="F650" s="109"/>
      <c r="G650" s="53"/>
      <c r="H650" s="53"/>
      <c r="I650" s="53"/>
      <c r="J650" s="54"/>
      <c r="K650" s="60"/>
      <c r="L650" s="53"/>
      <c r="P650" s="91"/>
      <c r="Q650" s="92"/>
      <c r="R650" s="93"/>
      <c r="S650" s="93"/>
      <c r="T650" s="53"/>
      <c r="U650" s="53"/>
    </row>
    <row r="651">
      <c r="A651" s="231"/>
      <c r="C651" s="232"/>
      <c r="D651" s="231"/>
      <c r="E651" s="56"/>
      <c r="F651" s="109"/>
      <c r="G651" s="53"/>
      <c r="H651" s="53"/>
      <c r="I651" s="53"/>
      <c r="J651" s="54"/>
      <c r="K651" s="60"/>
      <c r="L651" s="53"/>
      <c r="P651" s="91"/>
      <c r="Q651" s="92"/>
      <c r="R651" s="93"/>
      <c r="S651" s="93"/>
      <c r="T651" s="53"/>
      <c r="U651" s="53"/>
    </row>
    <row r="652">
      <c r="A652" s="231"/>
      <c r="C652" s="232"/>
      <c r="D652" s="231"/>
      <c r="E652" s="56"/>
      <c r="F652" s="109"/>
      <c r="G652" s="53"/>
      <c r="H652" s="53"/>
      <c r="I652" s="53"/>
      <c r="J652" s="54"/>
      <c r="K652" s="60"/>
      <c r="L652" s="53"/>
      <c r="P652" s="91"/>
      <c r="Q652" s="92"/>
      <c r="R652" s="93"/>
      <c r="S652" s="93"/>
      <c r="T652" s="53"/>
      <c r="U652" s="53"/>
    </row>
    <row r="653">
      <c r="A653" s="231"/>
      <c r="C653" s="232"/>
      <c r="D653" s="231"/>
      <c r="E653" s="56"/>
      <c r="F653" s="109"/>
      <c r="G653" s="53"/>
      <c r="H653" s="53"/>
      <c r="I653" s="53"/>
      <c r="J653" s="54"/>
      <c r="K653" s="60"/>
      <c r="L653" s="53"/>
      <c r="P653" s="91"/>
      <c r="Q653" s="92"/>
      <c r="R653" s="93"/>
      <c r="S653" s="93"/>
      <c r="T653" s="53"/>
      <c r="U653" s="53"/>
    </row>
    <row r="654">
      <c r="A654" s="231"/>
      <c r="C654" s="232"/>
      <c r="D654" s="231"/>
      <c r="E654" s="56"/>
      <c r="F654" s="109"/>
      <c r="G654" s="53"/>
      <c r="H654" s="53"/>
      <c r="I654" s="53"/>
      <c r="J654" s="54"/>
      <c r="K654" s="60"/>
      <c r="L654" s="53"/>
      <c r="P654" s="91"/>
      <c r="Q654" s="92"/>
      <c r="R654" s="93"/>
      <c r="S654" s="93"/>
      <c r="T654" s="53"/>
      <c r="U654" s="53"/>
    </row>
    <row r="655">
      <c r="A655" s="231"/>
      <c r="C655" s="232"/>
      <c r="D655" s="231"/>
      <c r="E655" s="56"/>
      <c r="F655" s="109"/>
      <c r="G655" s="53"/>
      <c r="H655" s="53"/>
      <c r="I655" s="53"/>
      <c r="J655" s="54"/>
      <c r="K655" s="60"/>
      <c r="L655" s="53"/>
      <c r="P655" s="91"/>
      <c r="Q655" s="92"/>
      <c r="R655" s="93"/>
      <c r="S655" s="93"/>
      <c r="T655" s="53"/>
      <c r="U655" s="53"/>
    </row>
    <row r="656">
      <c r="A656" s="231"/>
      <c r="C656" s="232"/>
      <c r="D656" s="231"/>
      <c r="E656" s="56"/>
      <c r="F656" s="109"/>
      <c r="G656" s="53"/>
      <c r="H656" s="53"/>
      <c r="I656" s="53"/>
      <c r="J656" s="54"/>
      <c r="K656" s="60"/>
      <c r="L656" s="53"/>
      <c r="P656" s="91"/>
      <c r="Q656" s="92"/>
      <c r="R656" s="93"/>
      <c r="S656" s="93"/>
      <c r="T656" s="53"/>
      <c r="U656" s="53"/>
    </row>
    <row r="657">
      <c r="A657" s="231"/>
      <c r="C657" s="232"/>
      <c r="D657" s="231"/>
      <c r="E657" s="56"/>
      <c r="F657" s="109"/>
      <c r="G657" s="53"/>
      <c r="H657" s="53"/>
      <c r="I657" s="53"/>
      <c r="J657" s="54"/>
      <c r="K657" s="60"/>
      <c r="L657" s="53"/>
      <c r="P657" s="91"/>
      <c r="Q657" s="92"/>
      <c r="R657" s="93"/>
      <c r="S657" s="93"/>
      <c r="T657" s="53"/>
      <c r="U657" s="53"/>
    </row>
    <row r="658">
      <c r="A658" s="231"/>
      <c r="C658" s="232"/>
      <c r="D658" s="231"/>
      <c r="E658" s="56"/>
      <c r="F658" s="109"/>
      <c r="G658" s="53"/>
      <c r="H658" s="53"/>
      <c r="I658" s="53"/>
      <c r="J658" s="54"/>
      <c r="K658" s="60"/>
      <c r="L658" s="53"/>
      <c r="P658" s="91"/>
      <c r="Q658" s="92"/>
      <c r="R658" s="93"/>
      <c r="S658" s="93"/>
      <c r="T658" s="53"/>
      <c r="U658" s="53"/>
    </row>
    <row r="659">
      <c r="A659" s="231"/>
      <c r="C659" s="232"/>
      <c r="D659" s="231"/>
      <c r="E659" s="56"/>
      <c r="F659" s="109"/>
      <c r="G659" s="53"/>
      <c r="H659" s="53"/>
      <c r="I659" s="53"/>
      <c r="J659" s="54"/>
      <c r="K659" s="60"/>
      <c r="L659" s="53"/>
      <c r="P659" s="91"/>
      <c r="Q659" s="92"/>
      <c r="R659" s="93"/>
      <c r="S659" s="93"/>
      <c r="T659" s="53"/>
      <c r="U659" s="53"/>
    </row>
    <row r="660">
      <c r="A660" s="231"/>
      <c r="C660" s="232"/>
      <c r="D660" s="231"/>
      <c r="E660" s="56"/>
      <c r="F660" s="109"/>
      <c r="G660" s="53"/>
      <c r="H660" s="53"/>
      <c r="I660" s="53"/>
      <c r="J660" s="54"/>
      <c r="K660" s="60"/>
      <c r="L660" s="53"/>
      <c r="P660" s="91"/>
      <c r="Q660" s="92"/>
      <c r="R660" s="93"/>
      <c r="S660" s="93"/>
      <c r="T660" s="53"/>
      <c r="U660" s="53"/>
    </row>
    <row r="661">
      <c r="A661" s="231"/>
      <c r="C661" s="232"/>
      <c r="D661" s="231"/>
      <c r="E661" s="56"/>
      <c r="F661" s="109"/>
      <c r="G661" s="53"/>
      <c r="H661" s="53"/>
      <c r="I661" s="53"/>
      <c r="J661" s="54"/>
      <c r="K661" s="60"/>
      <c r="L661" s="53"/>
      <c r="P661" s="91"/>
      <c r="Q661" s="92"/>
      <c r="R661" s="93"/>
      <c r="S661" s="93"/>
      <c r="T661" s="53"/>
      <c r="U661" s="53"/>
    </row>
    <row r="662">
      <c r="A662" s="231"/>
      <c r="C662" s="232"/>
      <c r="D662" s="231"/>
      <c r="E662" s="56"/>
      <c r="F662" s="109"/>
      <c r="G662" s="53"/>
      <c r="H662" s="53"/>
      <c r="I662" s="53"/>
      <c r="J662" s="54"/>
      <c r="K662" s="60"/>
      <c r="L662" s="53"/>
      <c r="P662" s="91"/>
      <c r="Q662" s="92"/>
      <c r="R662" s="93"/>
      <c r="S662" s="93"/>
      <c r="T662" s="53"/>
      <c r="U662" s="53"/>
    </row>
    <row r="663">
      <c r="A663" s="231"/>
      <c r="C663" s="232"/>
      <c r="D663" s="231"/>
      <c r="E663" s="56"/>
      <c r="F663" s="109"/>
      <c r="G663" s="53"/>
      <c r="H663" s="53"/>
      <c r="I663" s="53"/>
      <c r="J663" s="54"/>
      <c r="K663" s="60"/>
      <c r="L663" s="53"/>
      <c r="P663" s="91"/>
      <c r="Q663" s="92"/>
      <c r="R663" s="93"/>
      <c r="S663" s="93"/>
      <c r="T663" s="53"/>
      <c r="U663" s="53"/>
    </row>
    <row r="664">
      <c r="A664" s="231"/>
      <c r="C664" s="232"/>
      <c r="D664" s="231"/>
      <c r="E664" s="56"/>
      <c r="F664" s="109"/>
      <c r="G664" s="53"/>
      <c r="H664" s="53"/>
      <c r="I664" s="53"/>
      <c r="J664" s="54"/>
      <c r="K664" s="60"/>
      <c r="L664" s="53"/>
      <c r="P664" s="91"/>
      <c r="Q664" s="92"/>
      <c r="R664" s="93"/>
      <c r="S664" s="93"/>
      <c r="T664" s="53"/>
      <c r="U664" s="53"/>
    </row>
  </sheetData>
  <mergeCells count="4">
    <mergeCell ref="A2:E2"/>
    <mergeCell ref="F2:L2"/>
    <mergeCell ref="M2:T2"/>
    <mergeCell ref="U2:V2"/>
  </mergeCells>
  <conditionalFormatting sqref="A1:V1">
    <cfRule type="notContainsBlanks" dxfId="0" priority="1">
      <formula>LEN(TRIM(A1))&gt;0</formula>
    </cfRule>
  </conditionalFormatting>
  <drawing r:id="rId2"/>
  <legacyDrawing r:id="rId3"/>
</worksheet>
</file>