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575B6239-3524-4303-B62D-B17E4721DF7D}" xr6:coauthVersionLast="47" xr6:coauthVersionMax="47" xr10:uidLastSave="{00000000-0000-0000-0000-000000000000}"/>
  <bookViews>
    <workbookView xWindow="2340" yWindow="975" windowWidth="22200" windowHeight="14340" activeTab="1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" i="2" l="1"/>
  <c r="Q51" i="2"/>
  <c r="R51" i="2"/>
  <c r="S51" i="2"/>
  <c r="T51" i="2"/>
  <c r="U51" i="2"/>
  <c r="V51" i="2"/>
  <c r="W51" i="2" s="1"/>
  <c r="X51" i="2" s="1"/>
  <c r="Y51" i="2" s="1"/>
  <c r="H3" i="2"/>
  <c r="O89" i="2"/>
  <c r="O88" i="2" s="1"/>
  <c r="N89" i="2"/>
  <c r="G89" i="2"/>
  <c r="C89" i="2"/>
  <c r="M131" i="2"/>
  <c r="O131" i="2"/>
  <c r="N131" i="2"/>
  <c r="G131" i="2"/>
  <c r="C131" i="2"/>
  <c r="O107" i="2"/>
  <c r="O110" i="2" s="1"/>
  <c r="N107" i="2"/>
  <c r="N110" i="2" s="1"/>
  <c r="G107" i="2"/>
  <c r="G110" i="2" s="1"/>
  <c r="C107" i="2"/>
  <c r="C110" i="2" s="1"/>
  <c r="S72" i="2"/>
  <c r="U72" i="2" s="1"/>
  <c r="V72" i="2" s="1"/>
  <c r="W72" i="2" s="1"/>
  <c r="X72" i="2" s="1"/>
  <c r="Y72" i="2" s="1"/>
  <c r="P117" i="2"/>
  <c r="Q117" i="2" s="1"/>
  <c r="R117" i="2" s="1"/>
  <c r="S117" i="2" s="1"/>
  <c r="T117" i="2" s="1"/>
  <c r="U117" i="2" s="1"/>
  <c r="V117" i="2" s="1"/>
  <c r="W117" i="2" s="1"/>
  <c r="X117" i="2" s="1"/>
  <c r="Y117" i="2" s="1"/>
  <c r="M129" i="2"/>
  <c r="N129" i="2"/>
  <c r="O129" i="2"/>
  <c r="M132" i="2"/>
  <c r="N132" i="2"/>
  <c r="O132" i="2"/>
  <c r="L129" i="2"/>
  <c r="D129" i="2"/>
  <c r="E129" i="2"/>
  <c r="F129" i="2"/>
  <c r="G129" i="2"/>
  <c r="H129" i="2"/>
  <c r="I129" i="2"/>
  <c r="J129" i="2"/>
  <c r="C129" i="2"/>
  <c r="L132" i="2"/>
  <c r="D132" i="2"/>
  <c r="E132" i="2"/>
  <c r="F132" i="2"/>
  <c r="G132" i="2"/>
  <c r="H132" i="2"/>
  <c r="I132" i="2"/>
  <c r="J132" i="2"/>
  <c r="C132" i="2"/>
  <c r="G18" i="2"/>
  <c r="H35" i="2"/>
  <c r="I35" i="2"/>
  <c r="J35" i="2"/>
  <c r="H36" i="2"/>
  <c r="I36" i="2"/>
  <c r="J36" i="2"/>
  <c r="H37" i="2"/>
  <c r="I37" i="2"/>
  <c r="J37" i="2"/>
  <c r="G37" i="2"/>
  <c r="G36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C27" i="2"/>
  <c r="C26" i="2"/>
  <c r="C18" i="2"/>
  <c r="I8" i="2"/>
  <c r="J8" i="2"/>
  <c r="H12" i="2"/>
  <c r="I12" i="2"/>
  <c r="J12" i="2"/>
  <c r="H16" i="2"/>
  <c r="I16" i="2"/>
  <c r="J16" i="2"/>
  <c r="D12" i="2"/>
  <c r="E12" i="2"/>
  <c r="F12" i="2"/>
  <c r="G12" i="2"/>
  <c r="C12" i="2"/>
  <c r="D16" i="2"/>
  <c r="E16" i="2"/>
  <c r="F16" i="2"/>
  <c r="G16" i="2"/>
  <c r="C16" i="2"/>
  <c r="D8" i="2"/>
  <c r="E8" i="2"/>
  <c r="F8" i="2"/>
  <c r="G8" i="2"/>
  <c r="C5" i="2"/>
  <c r="C8" i="2" s="1"/>
  <c r="C102" i="2"/>
  <c r="G102" i="2"/>
  <c r="M102" i="2"/>
  <c r="N102" i="2"/>
  <c r="O102" i="2"/>
  <c r="M110" i="2"/>
  <c r="L102" i="2"/>
  <c r="D102" i="2"/>
  <c r="E102" i="2"/>
  <c r="F102" i="2"/>
  <c r="L110" i="2"/>
  <c r="D110" i="2"/>
  <c r="E110" i="2"/>
  <c r="F110" i="2"/>
  <c r="K6" i="1"/>
  <c r="K5" i="1"/>
  <c r="P43" i="2"/>
  <c r="Q43" i="2" s="1"/>
  <c r="R43" i="2" s="1"/>
  <c r="S43" i="2" s="1"/>
  <c r="T43" i="2" s="1"/>
  <c r="R71" i="2"/>
  <c r="S71" i="2" s="1"/>
  <c r="T71" i="2" s="1"/>
  <c r="U71" i="2" s="1"/>
  <c r="V71" i="2" s="1"/>
  <c r="W71" i="2" s="1"/>
  <c r="X71" i="2" s="1"/>
  <c r="Y71" i="2" s="1"/>
  <c r="Q45" i="2"/>
  <c r="R45" i="2" s="1"/>
  <c r="S45" i="2" s="1"/>
  <c r="T45" i="2" s="1"/>
  <c r="U45" i="2" s="1"/>
  <c r="V45" i="2" s="1"/>
  <c r="W45" i="2" s="1"/>
  <c r="X45" i="2" s="1"/>
  <c r="Y45" i="2" s="1"/>
  <c r="Q44" i="2"/>
  <c r="R44" i="2" s="1"/>
  <c r="S44" i="2" s="1"/>
  <c r="T44" i="2" s="1"/>
  <c r="U44" i="2" s="1"/>
  <c r="V44" i="2" s="1"/>
  <c r="W44" i="2" s="1"/>
  <c r="P6" i="2"/>
  <c r="Q6" i="2" s="1"/>
  <c r="R6" i="2" s="1"/>
  <c r="S6" i="2" s="1"/>
  <c r="T6" i="2" s="1"/>
  <c r="U6" i="2" s="1"/>
  <c r="V6" i="2" s="1"/>
  <c r="P7" i="2"/>
  <c r="Q7" i="2" s="1"/>
  <c r="R7" i="2" s="1"/>
  <c r="S7" i="2" s="1"/>
  <c r="T7" i="2" s="1"/>
  <c r="U7" i="2" s="1"/>
  <c r="V7" i="2" s="1"/>
  <c r="R46" i="2"/>
  <c r="S46" i="2" s="1"/>
  <c r="T46" i="2" s="1"/>
  <c r="U46" i="2" s="1"/>
  <c r="V46" i="2" s="1"/>
  <c r="W46" i="2" s="1"/>
  <c r="X46" i="2" s="1"/>
  <c r="Y46" i="2" s="1"/>
  <c r="P82" i="2"/>
  <c r="Q82" i="2" s="1"/>
  <c r="R82" i="2" s="1"/>
  <c r="S82" i="2" s="1"/>
  <c r="T82" i="2" s="1"/>
  <c r="U82" i="2" s="1"/>
  <c r="V82" i="2" s="1"/>
  <c r="W82" i="2" s="1"/>
  <c r="X82" i="2" s="1"/>
  <c r="Y82" i="2" s="1"/>
  <c r="P83" i="2"/>
  <c r="Q83" i="2" s="1"/>
  <c r="R83" i="2" s="1"/>
  <c r="S83" i="2" s="1"/>
  <c r="T83" i="2" s="1"/>
  <c r="U83" i="2" s="1"/>
  <c r="V83" i="2" s="1"/>
  <c r="W83" i="2" s="1"/>
  <c r="X83" i="2" s="1"/>
  <c r="Y83" i="2" s="1"/>
  <c r="Q68" i="2"/>
  <c r="R68" i="2" s="1"/>
  <c r="S68" i="2" s="1"/>
  <c r="T68" i="2" s="1"/>
  <c r="U68" i="2" s="1"/>
  <c r="V68" i="2" s="1"/>
  <c r="W68" i="2" s="1"/>
  <c r="X68" i="2" s="1"/>
  <c r="Y68" i="2" s="1"/>
  <c r="Q50" i="2"/>
  <c r="R50" i="2" s="1"/>
  <c r="S50" i="2" s="1"/>
  <c r="T50" i="2" s="1"/>
  <c r="U50" i="2" s="1"/>
  <c r="V50" i="2" s="1"/>
  <c r="W50" i="2" s="1"/>
  <c r="X50" i="2" s="1"/>
  <c r="Y50" i="2" s="1"/>
  <c r="Q49" i="2"/>
  <c r="R49" i="2" s="1"/>
  <c r="S49" i="2" s="1"/>
  <c r="T49" i="2" s="1"/>
  <c r="U49" i="2" s="1"/>
  <c r="V49" i="2" s="1"/>
  <c r="W49" i="2" s="1"/>
  <c r="X49" i="2" s="1"/>
  <c r="Y49" i="2" s="1"/>
  <c r="Q73" i="2"/>
  <c r="Q76" i="2" s="1"/>
  <c r="P74" i="2"/>
  <c r="Q67" i="2"/>
  <c r="R67" i="2" s="1"/>
  <c r="S67" i="2" s="1"/>
  <c r="T67" i="2" s="1"/>
  <c r="U67" i="2" s="1"/>
  <c r="V67" i="2" s="1"/>
  <c r="W67" i="2" s="1"/>
  <c r="X67" i="2" s="1"/>
  <c r="Y67" i="2" s="1"/>
  <c r="O81" i="2"/>
  <c r="O84" i="2" s="1"/>
  <c r="P56" i="2"/>
  <c r="P58" i="2"/>
  <c r="P57" i="2"/>
  <c r="M47" i="2"/>
  <c r="M53" i="2" s="1"/>
  <c r="N47" i="2"/>
  <c r="N53" i="2" s="1"/>
  <c r="O47" i="2"/>
  <c r="O53" i="2" s="1"/>
  <c r="L47" i="2"/>
  <c r="L53" i="2" s="1"/>
  <c r="F52" i="2"/>
  <c r="P79" i="2"/>
  <c r="Q79" i="2" s="1"/>
  <c r="Q77" i="2"/>
  <c r="P76" i="2"/>
  <c r="L9" i="2"/>
  <c r="L12" i="2" s="1"/>
  <c r="M37" i="2"/>
  <c r="M36" i="2"/>
  <c r="M35" i="2"/>
  <c r="L26" i="2"/>
  <c r="L27" i="2"/>
  <c r="L16" i="2"/>
  <c r="L8" i="2"/>
  <c r="O18" i="2"/>
  <c r="N18" i="2"/>
  <c r="M18" i="2"/>
  <c r="N16" i="2"/>
  <c r="O16" i="2"/>
  <c r="M16" i="2"/>
  <c r="M27" i="2"/>
  <c r="N27" i="2"/>
  <c r="N26" i="2"/>
  <c r="M26" i="2"/>
  <c r="M25" i="2"/>
  <c r="N25" i="2"/>
  <c r="O36" i="2"/>
  <c r="O37" i="2"/>
  <c r="N37" i="2"/>
  <c r="N36" i="2"/>
  <c r="N35" i="2"/>
  <c r="O35" i="2"/>
  <c r="O27" i="2"/>
  <c r="O26" i="2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N12" i="2"/>
  <c r="M12" i="2"/>
  <c r="M8" i="2"/>
  <c r="N8" i="2"/>
  <c r="O8" i="2"/>
  <c r="K4" i="1"/>
  <c r="C47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G88" i="2" l="1"/>
  <c r="N88" i="2"/>
  <c r="C88" i="2"/>
  <c r="K7" i="1"/>
  <c r="C111" i="2"/>
  <c r="C112" i="2" s="1"/>
  <c r="D133" i="2"/>
  <c r="H13" i="2"/>
  <c r="H17" i="2" s="1"/>
  <c r="W56" i="2"/>
  <c r="U43" i="2"/>
  <c r="V43" i="2" s="1"/>
  <c r="W43" i="2" s="1"/>
  <c r="X43" i="2" s="1"/>
  <c r="Y43" i="2" s="1"/>
  <c r="V11" i="2"/>
  <c r="V37" i="2"/>
  <c r="W7" i="2"/>
  <c r="V57" i="2"/>
  <c r="V10" i="2"/>
  <c r="V36" i="2"/>
  <c r="W6" i="2"/>
  <c r="V77" i="2"/>
  <c r="L133" i="2"/>
  <c r="Y58" i="2"/>
  <c r="X58" i="2"/>
  <c r="V58" i="2"/>
  <c r="W58" i="2"/>
  <c r="X44" i="2"/>
  <c r="V56" i="2"/>
  <c r="F33" i="2"/>
  <c r="I13" i="2"/>
  <c r="I17" i="2" s="1"/>
  <c r="H133" i="2"/>
  <c r="N133" i="2"/>
  <c r="E133" i="2"/>
  <c r="M133" i="2"/>
  <c r="E33" i="2"/>
  <c r="C133" i="2"/>
  <c r="J133" i="2"/>
  <c r="I133" i="2"/>
  <c r="D33" i="2"/>
  <c r="G133" i="2"/>
  <c r="I33" i="2"/>
  <c r="F133" i="2"/>
  <c r="G35" i="2"/>
  <c r="J13" i="2"/>
  <c r="J17" i="2" s="1"/>
  <c r="J19" i="2" s="1"/>
  <c r="H29" i="2"/>
  <c r="O133" i="2"/>
  <c r="O111" i="2"/>
  <c r="O112" i="2" s="1"/>
  <c r="G29" i="2"/>
  <c r="H33" i="2"/>
  <c r="G33" i="2"/>
  <c r="J29" i="2"/>
  <c r="G32" i="2"/>
  <c r="I29" i="2"/>
  <c r="F13" i="2"/>
  <c r="F17" i="2" s="1"/>
  <c r="H32" i="2"/>
  <c r="C25" i="2"/>
  <c r="F29" i="2"/>
  <c r="I32" i="2"/>
  <c r="E13" i="2"/>
  <c r="E17" i="2" s="1"/>
  <c r="E29" i="2"/>
  <c r="D13" i="2"/>
  <c r="D17" i="2" s="1"/>
  <c r="J33" i="2"/>
  <c r="D29" i="2"/>
  <c r="C13" i="2"/>
  <c r="C17" i="2" s="1"/>
  <c r="J32" i="2"/>
  <c r="G111" i="2"/>
  <c r="G112" i="2" s="1"/>
  <c r="C29" i="2"/>
  <c r="G13" i="2"/>
  <c r="G17" i="2" s="1"/>
  <c r="N111" i="2"/>
  <c r="N112" i="2" s="1"/>
  <c r="M111" i="2"/>
  <c r="M112" i="2" s="1"/>
  <c r="D111" i="2"/>
  <c r="D112" i="2" s="1"/>
  <c r="F111" i="2"/>
  <c r="F112" i="2" s="1"/>
  <c r="E111" i="2"/>
  <c r="E112" i="2" s="1"/>
  <c r="L111" i="2"/>
  <c r="L112" i="2" s="1"/>
  <c r="P18" i="2"/>
  <c r="L25" i="2"/>
  <c r="P47" i="2"/>
  <c r="P5" i="2" s="1"/>
  <c r="Q74" i="2"/>
  <c r="R73" i="2"/>
  <c r="R74" i="2" s="1"/>
  <c r="P62" i="2"/>
  <c r="T36" i="2"/>
  <c r="N32" i="2"/>
  <c r="O86" i="2"/>
  <c r="O32" i="2"/>
  <c r="T37" i="2"/>
  <c r="U56" i="2"/>
  <c r="Q52" i="2"/>
  <c r="Q63" i="2" s="1"/>
  <c r="P52" i="2"/>
  <c r="Q81" i="2"/>
  <c r="P81" i="2"/>
  <c r="Q57" i="2"/>
  <c r="M32" i="2"/>
  <c r="T56" i="2"/>
  <c r="Q62" i="2"/>
  <c r="P36" i="2"/>
  <c r="Q56" i="2"/>
  <c r="Q47" i="2"/>
  <c r="Q5" i="2" s="1"/>
  <c r="R58" i="2"/>
  <c r="Q58" i="2"/>
  <c r="R56" i="2"/>
  <c r="R77" i="2"/>
  <c r="R79" i="2"/>
  <c r="S79" i="2" s="1"/>
  <c r="P37" i="2"/>
  <c r="L13" i="2"/>
  <c r="L17" i="2" s="1"/>
  <c r="L29" i="2"/>
  <c r="N29" i="2"/>
  <c r="M29" i="2"/>
  <c r="N13" i="2"/>
  <c r="N17" i="2" s="1"/>
  <c r="M13" i="2"/>
  <c r="M17" i="2" s="1"/>
  <c r="P10" i="2"/>
  <c r="P11" i="2"/>
  <c r="Q11" i="2"/>
  <c r="Q37" i="2"/>
  <c r="W62" i="2" l="1"/>
  <c r="W47" i="2"/>
  <c r="W5" i="2" s="1"/>
  <c r="V52" i="2"/>
  <c r="V63" i="2" s="1"/>
  <c r="W52" i="2"/>
  <c r="W63" i="2" s="1"/>
  <c r="H19" i="2"/>
  <c r="H21" i="2" s="1"/>
  <c r="H30" i="2"/>
  <c r="V62" i="2"/>
  <c r="V47" i="2"/>
  <c r="V5" i="2" s="1"/>
  <c r="V8" i="2" s="1"/>
  <c r="V64" i="2"/>
  <c r="V65" i="2" s="1"/>
  <c r="I19" i="2"/>
  <c r="I21" i="2" s="1"/>
  <c r="I30" i="2"/>
  <c r="W77" i="2"/>
  <c r="W57" i="2"/>
  <c r="X62" i="2"/>
  <c r="X6" i="2"/>
  <c r="W10" i="2"/>
  <c r="W36" i="2"/>
  <c r="W11" i="2"/>
  <c r="W37" i="2"/>
  <c r="X7" i="2"/>
  <c r="W64" i="2"/>
  <c r="W65" i="2" s="1"/>
  <c r="X47" i="2"/>
  <c r="X5" i="2" s="1"/>
  <c r="W8" i="2"/>
  <c r="X56" i="2"/>
  <c r="Y44" i="2"/>
  <c r="X52" i="2"/>
  <c r="X63" i="2" s="1"/>
  <c r="J30" i="2"/>
  <c r="C19" i="2"/>
  <c r="C30" i="2"/>
  <c r="F19" i="2"/>
  <c r="F30" i="2"/>
  <c r="G19" i="2"/>
  <c r="G30" i="2"/>
  <c r="E19" i="2"/>
  <c r="E30" i="2"/>
  <c r="J21" i="2"/>
  <c r="D19" i="2"/>
  <c r="D30" i="2"/>
  <c r="R57" i="2"/>
  <c r="R76" i="2"/>
  <c r="S73" i="2"/>
  <c r="P63" i="2"/>
  <c r="P64" i="2" s="1"/>
  <c r="P65" i="2" s="1"/>
  <c r="P84" i="2"/>
  <c r="P86" i="2" s="1"/>
  <c r="S74" i="2"/>
  <c r="T79" i="2"/>
  <c r="U62" i="2"/>
  <c r="S57" i="2"/>
  <c r="N19" i="2"/>
  <c r="N30" i="2"/>
  <c r="T57" i="2"/>
  <c r="U36" i="2"/>
  <c r="U10" i="2"/>
  <c r="Q84" i="2"/>
  <c r="Q86" i="2" s="1"/>
  <c r="R81" i="2"/>
  <c r="S52" i="2"/>
  <c r="S63" i="2" s="1"/>
  <c r="L19" i="2"/>
  <c r="L30" i="2"/>
  <c r="U47" i="2"/>
  <c r="U5" i="2" s="1"/>
  <c r="V35" i="2" s="1"/>
  <c r="M19" i="2"/>
  <c r="M30" i="2"/>
  <c r="T58" i="2"/>
  <c r="U52" i="2"/>
  <c r="R52" i="2"/>
  <c r="R63" i="2" s="1"/>
  <c r="T52" i="2"/>
  <c r="T63" i="2" s="1"/>
  <c r="U37" i="2"/>
  <c r="U11" i="2"/>
  <c r="Q64" i="2"/>
  <c r="Q65" i="2" s="1"/>
  <c r="S58" i="2"/>
  <c r="R62" i="2"/>
  <c r="P48" i="2"/>
  <c r="Q10" i="2"/>
  <c r="Q36" i="2"/>
  <c r="R36" i="2"/>
  <c r="S56" i="2"/>
  <c r="S62" i="2"/>
  <c r="S47" i="2"/>
  <c r="S5" i="2" s="1"/>
  <c r="R47" i="2"/>
  <c r="R5" i="2" s="1"/>
  <c r="T62" i="2"/>
  <c r="S77" i="2"/>
  <c r="R37" i="2"/>
  <c r="R11" i="2"/>
  <c r="R10" i="2"/>
  <c r="S36" i="2"/>
  <c r="S37" i="2"/>
  <c r="W35" i="2" l="1"/>
  <c r="X57" i="2"/>
  <c r="Y57" i="2"/>
  <c r="Y77" i="2"/>
  <c r="X77" i="2"/>
  <c r="Y7" i="2"/>
  <c r="X11" i="2"/>
  <c r="X37" i="2"/>
  <c r="X10" i="2"/>
  <c r="X36" i="2"/>
  <c r="Y6" i="2"/>
  <c r="V132" i="2"/>
  <c r="Y56" i="2"/>
  <c r="Y52" i="2"/>
  <c r="Y63" i="2" s="1"/>
  <c r="X35" i="2"/>
  <c r="X8" i="2"/>
  <c r="X64" i="2"/>
  <c r="X65" i="2" s="1"/>
  <c r="W132" i="2"/>
  <c r="W32" i="2"/>
  <c r="I22" i="2"/>
  <c r="I114" i="2"/>
  <c r="H114" i="2"/>
  <c r="H22" i="2"/>
  <c r="J114" i="2"/>
  <c r="J22" i="2"/>
  <c r="D21" i="2"/>
  <c r="E21" i="2"/>
  <c r="F21" i="2"/>
  <c r="G21" i="2"/>
  <c r="C21" i="2"/>
  <c r="T73" i="2"/>
  <c r="T74" i="2" s="1"/>
  <c r="S76" i="2"/>
  <c r="P55" i="2"/>
  <c r="Q48" i="2"/>
  <c r="R48" i="2" s="1"/>
  <c r="S48" i="2" s="1"/>
  <c r="T48" i="2" s="1"/>
  <c r="U48" i="2" s="1"/>
  <c r="V48" i="2" s="1"/>
  <c r="U63" i="2"/>
  <c r="N21" i="2"/>
  <c r="N114" i="2" s="1"/>
  <c r="L21" i="2"/>
  <c r="R84" i="2"/>
  <c r="R86" i="2" s="1"/>
  <c r="S81" i="2"/>
  <c r="U58" i="2"/>
  <c r="M21" i="2"/>
  <c r="M114" i="2" s="1"/>
  <c r="U57" i="2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 s="1"/>
  <c r="BS57" i="2" s="1"/>
  <c r="BT57" i="2" s="1"/>
  <c r="BU57" i="2" s="1"/>
  <c r="BV57" i="2" s="1"/>
  <c r="BW57" i="2" s="1"/>
  <c r="BX57" i="2" s="1"/>
  <c r="BY57" i="2" s="1"/>
  <c r="BZ57" i="2" s="1"/>
  <c r="CA57" i="2" s="1"/>
  <c r="CB57" i="2" s="1"/>
  <c r="CC57" i="2" s="1"/>
  <c r="CD57" i="2" s="1"/>
  <c r="CE57" i="2" s="1"/>
  <c r="CF57" i="2" s="1"/>
  <c r="CG57" i="2" s="1"/>
  <c r="CH57" i="2" s="1"/>
  <c r="CI57" i="2" s="1"/>
  <c r="CJ57" i="2" s="1"/>
  <c r="CK57" i="2" s="1"/>
  <c r="CL57" i="2" s="1"/>
  <c r="CM57" i="2" s="1"/>
  <c r="CN57" i="2" s="1"/>
  <c r="CO57" i="2" s="1"/>
  <c r="CP57" i="2" s="1"/>
  <c r="CQ57" i="2" s="1"/>
  <c r="CR57" i="2" s="1"/>
  <c r="CS57" i="2" s="1"/>
  <c r="CT57" i="2" s="1"/>
  <c r="CU57" i="2" s="1"/>
  <c r="CV57" i="2" s="1"/>
  <c r="CW57" i="2" s="1"/>
  <c r="CX57" i="2" s="1"/>
  <c r="CY57" i="2" s="1"/>
  <c r="CZ57" i="2" s="1"/>
  <c r="DA57" i="2" s="1"/>
  <c r="DB57" i="2" s="1"/>
  <c r="DC57" i="2" s="1"/>
  <c r="DD57" i="2" s="1"/>
  <c r="DE57" i="2" s="1"/>
  <c r="DF57" i="2" s="1"/>
  <c r="DG57" i="2" s="1"/>
  <c r="DH57" i="2" s="1"/>
  <c r="DI57" i="2" s="1"/>
  <c r="DJ57" i="2" s="1"/>
  <c r="DK57" i="2" s="1"/>
  <c r="DL57" i="2" s="1"/>
  <c r="DM57" i="2" s="1"/>
  <c r="DN57" i="2" s="1"/>
  <c r="DO57" i="2" s="1"/>
  <c r="DP57" i="2" s="1"/>
  <c r="DQ57" i="2" s="1"/>
  <c r="DR57" i="2" s="1"/>
  <c r="DS57" i="2" s="1"/>
  <c r="DT57" i="2" s="1"/>
  <c r="DU57" i="2" s="1"/>
  <c r="DV57" i="2" s="1"/>
  <c r="DW57" i="2" s="1"/>
  <c r="DX57" i="2" s="1"/>
  <c r="DY57" i="2" s="1"/>
  <c r="DZ57" i="2" s="1"/>
  <c r="EA57" i="2" s="1"/>
  <c r="EB57" i="2" s="1"/>
  <c r="EC57" i="2" s="1"/>
  <c r="ED57" i="2" s="1"/>
  <c r="EE57" i="2" s="1"/>
  <c r="EF57" i="2" s="1"/>
  <c r="EG57" i="2" s="1"/>
  <c r="EH57" i="2" s="1"/>
  <c r="EI57" i="2" s="1"/>
  <c r="EJ57" i="2" s="1"/>
  <c r="EK57" i="2" s="1"/>
  <c r="EL57" i="2" s="1"/>
  <c r="EM57" i="2" s="1"/>
  <c r="EN57" i="2" s="1"/>
  <c r="EO57" i="2" s="1"/>
  <c r="EP57" i="2" s="1"/>
  <c r="EQ57" i="2" s="1"/>
  <c r="ER57" i="2" s="1"/>
  <c r="ES57" i="2" s="1"/>
  <c r="R64" i="2"/>
  <c r="R65" i="2" s="1"/>
  <c r="T47" i="2"/>
  <c r="T5" i="2" s="1"/>
  <c r="T77" i="2"/>
  <c r="S10" i="2"/>
  <c r="S11" i="2"/>
  <c r="Y11" i="2" l="1"/>
  <c r="Y37" i="2"/>
  <c r="Y62" i="2"/>
  <c r="Y36" i="2"/>
  <c r="Y10" i="2"/>
  <c r="W48" i="2"/>
  <c r="V55" i="2"/>
  <c r="Y47" i="2"/>
  <c r="X32" i="2"/>
  <c r="X132" i="2"/>
  <c r="Y64" i="2"/>
  <c r="Y65" i="2" s="1"/>
  <c r="Y5" i="2"/>
  <c r="F22" i="2"/>
  <c r="F114" i="2"/>
  <c r="L22" i="2"/>
  <c r="L114" i="2"/>
  <c r="G22" i="2"/>
  <c r="G114" i="2"/>
  <c r="C114" i="2"/>
  <c r="C22" i="2"/>
  <c r="E22" i="2"/>
  <c r="E114" i="2"/>
  <c r="D22" i="2"/>
  <c r="D114" i="2"/>
  <c r="AB50" i="2"/>
  <c r="M22" i="2"/>
  <c r="N22" i="2"/>
  <c r="U73" i="2"/>
  <c r="T76" i="2"/>
  <c r="P8" i="2"/>
  <c r="U77" i="2"/>
  <c r="U79" i="2"/>
  <c r="V79" i="2" s="1"/>
  <c r="W79" i="2" s="1"/>
  <c r="X79" i="2" s="1"/>
  <c r="Y79" i="2" s="1"/>
  <c r="T81" i="2"/>
  <c r="S84" i="2"/>
  <c r="S86" i="2" s="1"/>
  <c r="S64" i="2"/>
  <c r="S65" i="2" s="1"/>
  <c r="Q55" i="2"/>
  <c r="T11" i="2"/>
  <c r="T10" i="2"/>
  <c r="X48" i="2" l="1"/>
  <c r="W55" i="2"/>
  <c r="U74" i="2"/>
  <c r="V73" i="2"/>
  <c r="Y35" i="2"/>
  <c r="Y8" i="2"/>
  <c r="P32" i="2"/>
  <c r="P15" i="2" s="1"/>
  <c r="P132" i="2"/>
  <c r="P14" i="2"/>
  <c r="U76" i="2"/>
  <c r="U81" i="2"/>
  <c r="V81" i="2" s="1"/>
  <c r="Q8" i="2"/>
  <c r="T84" i="2"/>
  <c r="T86" i="2" s="1"/>
  <c r="U64" i="2"/>
  <c r="U65" i="2" s="1"/>
  <c r="T64" i="2"/>
  <c r="T65" i="2" s="1"/>
  <c r="R55" i="2"/>
  <c r="O25" i="2"/>
  <c r="P25" i="2" s="1"/>
  <c r="Q25" i="2" s="1"/>
  <c r="R25" i="2" s="1"/>
  <c r="S25" i="2" s="1"/>
  <c r="T25" i="2" s="1"/>
  <c r="U25" i="2" s="1"/>
  <c r="V25" i="2" s="1"/>
  <c r="O12" i="2"/>
  <c r="P127" i="2" l="1"/>
  <c r="P126" i="2"/>
  <c r="P128" i="2"/>
  <c r="P125" i="2"/>
  <c r="P124" i="2"/>
  <c r="P123" i="2"/>
  <c r="P121" i="2"/>
  <c r="P120" i="2"/>
  <c r="Q120" i="2" s="1"/>
  <c r="P119" i="2"/>
  <c r="Q119" i="2" s="1"/>
  <c r="P118" i="2"/>
  <c r="Q118" i="2" s="1"/>
  <c r="W73" i="2"/>
  <c r="V74" i="2"/>
  <c r="V76" i="2"/>
  <c r="W81" i="2"/>
  <c r="V84" i="2"/>
  <c r="V86" i="2" s="1"/>
  <c r="W25" i="2"/>
  <c r="V9" i="2"/>
  <c r="V12" i="2" s="1"/>
  <c r="Y48" i="2"/>
  <c r="Y55" i="2" s="1"/>
  <c r="X55" i="2"/>
  <c r="Y132" i="2"/>
  <c r="Y32" i="2"/>
  <c r="Q32" i="2"/>
  <c r="Q132" i="2"/>
  <c r="P16" i="2"/>
  <c r="Q15" i="2"/>
  <c r="Q14" i="2"/>
  <c r="Z65" i="2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CZ65" i="2" s="1"/>
  <c r="DA65" i="2" s="1"/>
  <c r="DB65" i="2" s="1"/>
  <c r="DC65" i="2" s="1"/>
  <c r="DD65" i="2" s="1"/>
  <c r="DE65" i="2" s="1"/>
  <c r="DF65" i="2" s="1"/>
  <c r="DG65" i="2" s="1"/>
  <c r="DH65" i="2" s="1"/>
  <c r="DI65" i="2" s="1"/>
  <c r="DJ65" i="2" s="1"/>
  <c r="DK65" i="2" s="1"/>
  <c r="DL65" i="2" s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AB72" i="2" s="1"/>
  <c r="U84" i="2"/>
  <c r="U86" i="2" s="1"/>
  <c r="R8" i="2"/>
  <c r="S55" i="2"/>
  <c r="O13" i="2"/>
  <c r="O17" i="2" s="1"/>
  <c r="O29" i="2"/>
  <c r="X81" i="2" l="1"/>
  <c r="W84" i="2"/>
  <c r="W86" i="2" s="1"/>
  <c r="X73" i="2"/>
  <c r="W76" i="2"/>
  <c r="W74" i="2"/>
  <c r="Q124" i="2"/>
  <c r="V29" i="2"/>
  <c r="V13" i="2"/>
  <c r="Q121" i="2"/>
  <c r="Q123" i="2"/>
  <c r="Q125" i="2"/>
  <c r="Q128" i="2"/>
  <c r="Q126" i="2"/>
  <c r="X25" i="2"/>
  <c r="W9" i="2"/>
  <c r="W12" i="2" s="1"/>
  <c r="Q127" i="2"/>
  <c r="R32" i="2"/>
  <c r="R132" i="2"/>
  <c r="Q16" i="2"/>
  <c r="R14" i="2"/>
  <c r="R15" i="2"/>
  <c r="O19" i="2"/>
  <c r="O30" i="2"/>
  <c r="T55" i="2"/>
  <c r="S8" i="2"/>
  <c r="O21" i="2"/>
  <c r="O114" i="2" s="1"/>
  <c r="Y25" i="2" l="1"/>
  <c r="Y9" i="2" s="1"/>
  <c r="Y12" i="2" s="1"/>
  <c r="X9" i="2"/>
  <c r="X12" i="2" s="1"/>
  <c r="W13" i="2"/>
  <c r="W29" i="2"/>
  <c r="Y73" i="2"/>
  <c r="X76" i="2"/>
  <c r="X74" i="2"/>
  <c r="Y81" i="2"/>
  <c r="X84" i="2"/>
  <c r="X86" i="2" s="1"/>
  <c r="R118" i="2"/>
  <c r="R123" i="2"/>
  <c r="R124" i="2"/>
  <c r="R128" i="2"/>
  <c r="R120" i="2"/>
  <c r="R121" i="2"/>
  <c r="R119" i="2"/>
  <c r="R127" i="2"/>
  <c r="R126" i="2"/>
  <c r="R125" i="2"/>
  <c r="S32" i="2"/>
  <c r="S132" i="2"/>
  <c r="O22" i="2"/>
  <c r="S15" i="2"/>
  <c r="S14" i="2"/>
  <c r="R16" i="2"/>
  <c r="T35" i="2"/>
  <c r="T8" i="2"/>
  <c r="U55" i="2"/>
  <c r="R35" i="2"/>
  <c r="T9" i="2"/>
  <c r="T12" i="2" s="1"/>
  <c r="R9" i="2"/>
  <c r="R12" i="2" s="1"/>
  <c r="Q9" i="2"/>
  <c r="Q12" i="2" s="1"/>
  <c r="Q13" i="2" s="1"/>
  <c r="Q17" i="2" s="1"/>
  <c r="S9" i="2"/>
  <c r="S12" i="2" s="1"/>
  <c r="S13" i="2" s="1"/>
  <c r="S35" i="2"/>
  <c r="Y84" i="2" l="1"/>
  <c r="Y86" i="2" s="1"/>
  <c r="Y74" i="2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BJ74" i="2" s="1"/>
  <c r="BK74" i="2" s="1"/>
  <c r="BL74" i="2" s="1"/>
  <c r="BM74" i="2" s="1"/>
  <c r="BN74" i="2" s="1"/>
  <c r="BO74" i="2" s="1"/>
  <c r="BP74" i="2" s="1"/>
  <c r="BQ74" i="2" s="1"/>
  <c r="BR74" i="2" s="1"/>
  <c r="BS74" i="2" s="1"/>
  <c r="BT74" i="2" s="1"/>
  <c r="BU74" i="2" s="1"/>
  <c r="BV74" i="2" s="1"/>
  <c r="BW74" i="2" s="1"/>
  <c r="BX74" i="2" s="1"/>
  <c r="BY74" i="2" s="1"/>
  <c r="BZ74" i="2" s="1"/>
  <c r="CA74" i="2" s="1"/>
  <c r="CB74" i="2" s="1"/>
  <c r="CC74" i="2" s="1"/>
  <c r="CD74" i="2" s="1"/>
  <c r="CE74" i="2" s="1"/>
  <c r="CF74" i="2" s="1"/>
  <c r="CG74" i="2" s="1"/>
  <c r="CH74" i="2" s="1"/>
  <c r="CI74" i="2" s="1"/>
  <c r="CJ74" i="2" s="1"/>
  <c r="CK74" i="2" s="1"/>
  <c r="CL74" i="2" s="1"/>
  <c r="CM74" i="2" s="1"/>
  <c r="CN74" i="2" s="1"/>
  <c r="CO74" i="2" s="1"/>
  <c r="CP74" i="2" s="1"/>
  <c r="CQ74" i="2" s="1"/>
  <c r="CR74" i="2" s="1"/>
  <c r="CS74" i="2" s="1"/>
  <c r="CT74" i="2" s="1"/>
  <c r="CU74" i="2" s="1"/>
  <c r="CV74" i="2" s="1"/>
  <c r="CW74" i="2" s="1"/>
  <c r="CX74" i="2" s="1"/>
  <c r="CY74" i="2" s="1"/>
  <c r="CZ74" i="2" s="1"/>
  <c r="DA74" i="2" s="1"/>
  <c r="DB74" i="2" s="1"/>
  <c r="DC74" i="2" s="1"/>
  <c r="DD74" i="2" s="1"/>
  <c r="DE74" i="2" s="1"/>
  <c r="DF74" i="2" s="1"/>
  <c r="DG74" i="2" s="1"/>
  <c r="DH74" i="2" s="1"/>
  <c r="DI74" i="2" s="1"/>
  <c r="DJ74" i="2" s="1"/>
  <c r="DK74" i="2" s="1"/>
  <c r="DL74" i="2" s="1"/>
  <c r="DM74" i="2" s="1"/>
  <c r="DN74" i="2" s="1"/>
  <c r="DO74" i="2" s="1"/>
  <c r="DP74" i="2" s="1"/>
  <c r="DQ74" i="2" s="1"/>
  <c r="DR74" i="2" s="1"/>
  <c r="DS74" i="2" s="1"/>
  <c r="DT74" i="2" s="1"/>
  <c r="DU74" i="2" s="1"/>
  <c r="DV74" i="2" s="1"/>
  <c r="DW74" i="2" s="1"/>
  <c r="DX74" i="2" s="1"/>
  <c r="DY74" i="2" s="1"/>
  <c r="DZ74" i="2" s="1"/>
  <c r="EA74" i="2" s="1"/>
  <c r="EB74" i="2" s="1"/>
  <c r="EC74" i="2" s="1"/>
  <c r="ED74" i="2" s="1"/>
  <c r="EE74" i="2" s="1"/>
  <c r="EF74" i="2" s="1"/>
  <c r="EG74" i="2" s="1"/>
  <c r="EH74" i="2" s="1"/>
  <c r="EI74" i="2" s="1"/>
  <c r="EJ74" i="2" s="1"/>
  <c r="EK74" i="2" s="1"/>
  <c r="EL74" i="2" s="1"/>
  <c r="EM74" i="2" s="1"/>
  <c r="EN74" i="2" s="1"/>
  <c r="EO74" i="2" s="1"/>
  <c r="AB79" i="2" s="1"/>
  <c r="AB7" i="2" s="1"/>
  <c r="Y76" i="2"/>
  <c r="X13" i="2"/>
  <c r="X29" i="2"/>
  <c r="Y13" i="2"/>
  <c r="Y29" i="2"/>
  <c r="S126" i="2"/>
  <c r="S124" i="2"/>
  <c r="S127" i="2"/>
  <c r="S119" i="2"/>
  <c r="S121" i="2"/>
  <c r="S120" i="2"/>
  <c r="S123" i="2"/>
  <c r="S125" i="2"/>
  <c r="S128" i="2"/>
  <c r="S118" i="2"/>
  <c r="T32" i="2"/>
  <c r="T14" i="2" s="1"/>
  <c r="T132" i="2"/>
  <c r="S16" i="2"/>
  <c r="T15" i="2"/>
  <c r="P61" i="2"/>
  <c r="U9" i="2"/>
  <c r="U12" i="2" s="1"/>
  <c r="U8" i="2"/>
  <c r="U35" i="2"/>
  <c r="Q30" i="2"/>
  <c r="S29" i="2"/>
  <c r="R29" i="2"/>
  <c r="R13" i="2"/>
  <c r="R17" i="2" s="1"/>
  <c r="T29" i="2"/>
  <c r="T13" i="2"/>
  <c r="Q29" i="2"/>
  <c r="P60" i="2" l="1"/>
  <c r="T125" i="2"/>
  <c r="T118" i="2"/>
  <c r="T119" i="2"/>
  <c r="T124" i="2"/>
  <c r="T128" i="2"/>
  <c r="T123" i="2"/>
  <c r="T120" i="2"/>
  <c r="T121" i="2"/>
  <c r="T127" i="2"/>
  <c r="T126" i="2"/>
  <c r="U132" i="2"/>
  <c r="V32" i="2"/>
  <c r="T16" i="2"/>
  <c r="S17" i="2"/>
  <c r="S30" i="2" s="1"/>
  <c r="U29" i="2"/>
  <c r="U13" i="2"/>
  <c r="U32" i="2"/>
  <c r="R30" i="2"/>
  <c r="P35" i="2"/>
  <c r="U120" i="2" l="1"/>
  <c r="V120" i="2" s="1"/>
  <c r="W120" i="2" s="1"/>
  <c r="X120" i="2" s="1"/>
  <c r="Y120" i="2" s="1"/>
  <c r="U124" i="2"/>
  <c r="V124" i="2" s="1"/>
  <c r="W124" i="2" s="1"/>
  <c r="X124" i="2" s="1"/>
  <c r="Y124" i="2" s="1"/>
  <c r="U126" i="2"/>
  <c r="V126" i="2" s="1"/>
  <c r="W126" i="2" s="1"/>
  <c r="X126" i="2" s="1"/>
  <c r="Y126" i="2" s="1"/>
  <c r="U125" i="2"/>
  <c r="V125" i="2" s="1"/>
  <c r="W125" i="2" s="1"/>
  <c r="X125" i="2" s="1"/>
  <c r="Y125" i="2" s="1"/>
  <c r="U119" i="2"/>
  <c r="V119" i="2" s="1"/>
  <c r="W119" i="2" s="1"/>
  <c r="X119" i="2" s="1"/>
  <c r="Y119" i="2" s="1"/>
  <c r="U123" i="2"/>
  <c r="V123" i="2" s="1"/>
  <c r="W123" i="2" s="1"/>
  <c r="X123" i="2" s="1"/>
  <c r="Y123" i="2" s="1"/>
  <c r="U128" i="2"/>
  <c r="V128" i="2" s="1"/>
  <c r="W128" i="2" s="1"/>
  <c r="X128" i="2" s="1"/>
  <c r="Y128" i="2" s="1"/>
  <c r="U118" i="2"/>
  <c r="V118" i="2" s="1"/>
  <c r="W118" i="2" s="1"/>
  <c r="X118" i="2" s="1"/>
  <c r="Y118" i="2" s="1"/>
  <c r="U127" i="2"/>
  <c r="V127" i="2" s="1"/>
  <c r="W127" i="2" s="1"/>
  <c r="X127" i="2" s="1"/>
  <c r="Y127" i="2" s="1"/>
  <c r="U121" i="2"/>
  <c r="V121" i="2" s="1"/>
  <c r="W121" i="2" s="1"/>
  <c r="X121" i="2" s="1"/>
  <c r="Y121" i="2" s="1"/>
  <c r="T17" i="2"/>
  <c r="T30" i="2" s="1"/>
  <c r="U15" i="2"/>
  <c r="V15" i="2" s="1"/>
  <c r="W15" i="2" s="1"/>
  <c r="X15" i="2" s="1"/>
  <c r="Y15" i="2" s="1"/>
  <c r="U14" i="2"/>
  <c r="V14" i="2" s="1"/>
  <c r="Q35" i="2"/>
  <c r="P9" i="2"/>
  <c r="P12" i="2" s="1"/>
  <c r="P29" i="2" s="1"/>
  <c r="V16" i="2" l="1"/>
  <c r="W14" i="2"/>
  <c r="U16" i="2"/>
  <c r="P13" i="2"/>
  <c r="P17" i="2" s="1"/>
  <c r="X14" i="2" l="1"/>
  <c r="W16" i="2"/>
  <c r="V17" i="2"/>
  <c r="V30" i="2" s="1"/>
  <c r="U17" i="2"/>
  <c r="U30" i="2" s="1"/>
  <c r="P19" i="2"/>
  <c r="P30" i="2"/>
  <c r="P20" i="2" l="1"/>
  <c r="P21" i="2" s="1"/>
  <c r="W17" i="2"/>
  <c r="W30" i="2" s="1"/>
  <c r="X16" i="2"/>
  <c r="Y14" i="2"/>
  <c r="Y16" i="2" s="1"/>
  <c r="P114" i="2" l="1"/>
  <c r="P129" i="2" s="1"/>
  <c r="P88" i="2"/>
  <c r="Q18" i="2" s="1"/>
  <c r="Q19" i="2" s="1"/>
  <c r="P39" i="2"/>
  <c r="P22" i="2"/>
  <c r="K8" i="1" s="1"/>
  <c r="Y17" i="2"/>
  <c r="Y30" i="2" s="1"/>
  <c r="X17" i="2"/>
  <c r="X30" i="2" s="1"/>
  <c r="Q20" i="2" l="1"/>
  <c r="Q21" i="2" s="1"/>
  <c r="P133" i="2"/>
  <c r="Q114" i="2" l="1"/>
  <c r="Q129" i="2" s="1"/>
  <c r="Q88" i="2"/>
  <c r="R18" i="2" s="1"/>
  <c r="R19" i="2" s="1"/>
  <c r="R20" i="2" s="1"/>
  <c r="R21" i="2" s="1"/>
  <c r="Q22" i="2"/>
  <c r="Q39" i="2"/>
  <c r="Q133" i="2" l="1"/>
  <c r="R114" i="2"/>
  <c r="R129" i="2" s="1"/>
  <c r="R39" i="2"/>
  <c r="R22" i="2"/>
  <c r="R88" i="2"/>
  <c r="S18" i="2" s="1"/>
  <c r="S19" i="2" s="1"/>
  <c r="S20" i="2" l="1"/>
  <c r="S21" i="2" s="1"/>
  <c r="R133" i="2"/>
  <c r="S114" i="2" l="1"/>
  <c r="S129" i="2" s="1"/>
  <c r="S39" i="2"/>
  <c r="S88" i="2"/>
  <c r="S22" i="2"/>
  <c r="T18" i="2" l="1"/>
  <c r="T19" i="2" s="1"/>
  <c r="S133" i="2"/>
  <c r="T20" i="2" l="1"/>
  <c r="T21" i="2" s="1"/>
  <c r="T114" i="2" l="1"/>
  <c r="T129" i="2" s="1"/>
  <c r="T22" i="2"/>
  <c r="T39" i="2"/>
  <c r="T88" i="2"/>
  <c r="U18" i="2" l="1"/>
  <c r="U19" i="2" s="1"/>
  <c r="T133" i="2"/>
  <c r="U20" i="2" l="1"/>
  <c r="U21" i="2" s="1"/>
  <c r="U114" i="2" l="1"/>
  <c r="U129" i="2" s="1"/>
  <c r="U39" i="2"/>
  <c r="U22" i="2"/>
  <c r="U88" i="2"/>
  <c r="V18" i="2" s="1"/>
  <c r="V19" i="2" s="1"/>
  <c r="V20" i="2" l="1"/>
  <c r="V21" i="2" s="1"/>
  <c r="U133" i="2"/>
  <c r="V88" i="2" l="1"/>
  <c r="W18" i="2" s="1"/>
  <c r="W19" i="2" s="1"/>
  <c r="V39" i="2"/>
  <c r="V114" i="2"/>
  <c r="V129" i="2" s="1"/>
  <c r="V22" i="2"/>
  <c r="V133" i="2" l="1"/>
  <c r="W20" i="2"/>
  <c r="W21" i="2" s="1"/>
  <c r="W88" i="2" l="1"/>
  <c r="X18" i="2" s="1"/>
  <c r="X19" i="2" s="1"/>
  <c r="W114" i="2"/>
  <c r="W129" i="2" s="1"/>
  <c r="W39" i="2"/>
  <c r="W22" i="2"/>
  <c r="W133" i="2" l="1"/>
  <c r="X20" i="2"/>
  <c r="X21" i="2" s="1"/>
  <c r="X88" i="2" l="1"/>
  <c r="X114" i="2"/>
  <c r="X129" i="2" s="1"/>
  <c r="X22" i="2"/>
  <c r="X39" i="2"/>
  <c r="X133" i="2" l="1"/>
  <c r="Y18" i="2"/>
  <c r="Y19" i="2" s="1"/>
  <c r="Y20" i="2" l="1"/>
  <c r="Y21" i="2"/>
  <c r="Y114" i="2" l="1"/>
  <c r="Y129" i="2" s="1"/>
  <c r="Y22" i="2"/>
  <c r="Y39" i="2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I39" i="2" s="1"/>
  <c r="CJ39" i="2" s="1"/>
  <c r="CK39" i="2" s="1"/>
  <c r="CL39" i="2" s="1"/>
  <c r="CM39" i="2" s="1"/>
  <c r="CN39" i="2" s="1"/>
  <c r="CO39" i="2" s="1"/>
  <c r="CP39" i="2" s="1"/>
  <c r="CQ39" i="2" s="1"/>
  <c r="CR39" i="2" s="1"/>
  <c r="CS39" i="2" s="1"/>
  <c r="CT39" i="2" s="1"/>
  <c r="CU39" i="2" s="1"/>
  <c r="CV39" i="2" s="1"/>
  <c r="CW39" i="2" s="1"/>
  <c r="CX39" i="2" s="1"/>
  <c r="CY39" i="2" s="1"/>
  <c r="CZ39" i="2" s="1"/>
  <c r="DA39" i="2" s="1"/>
  <c r="DB39" i="2" s="1"/>
  <c r="DC39" i="2" s="1"/>
  <c r="DD39" i="2" s="1"/>
  <c r="DE39" i="2" s="1"/>
  <c r="DF39" i="2" s="1"/>
  <c r="DG39" i="2" s="1"/>
  <c r="DH39" i="2" s="1"/>
  <c r="DI39" i="2" s="1"/>
  <c r="DJ39" i="2" s="1"/>
  <c r="DK39" i="2" s="1"/>
  <c r="DL39" i="2" s="1"/>
  <c r="DM39" i="2" s="1"/>
  <c r="DN39" i="2" s="1"/>
  <c r="DO39" i="2" s="1"/>
  <c r="DP39" i="2" s="1"/>
  <c r="DQ39" i="2" s="1"/>
  <c r="DR39" i="2" s="1"/>
  <c r="DS39" i="2" s="1"/>
  <c r="DT39" i="2" s="1"/>
  <c r="DU39" i="2" s="1"/>
  <c r="DV39" i="2" s="1"/>
  <c r="DW39" i="2" s="1"/>
  <c r="DX39" i="2" s="1"/>
  <c r="DY39" i="2" s="1"/>
  <c r="DZ39" i="2" s="1"/>
  <c r="EA39" i="2" s="1"/>
  <c r="EB39" i="2" s="1"/>
  <c r="EC39" i="2" s="1"/>
  <c r="ED39" i="2" s="1"/>
  <c r="EE39" i="2" s="1"/>
  <c r="EF39" i="2" s="1"/>
  <c r="EG39" i="2" s="1"/>
  <c r="EH39" i="2" s="1"/>
  <c r="EI39" i="2" s="1"/>
  <c r="EJ39" i="2" s="1"/>
  <c r="EK39" i="2" s="1"/>
  <c r="EL39" i="2" s="1"/>
  <c r="EM39" i="2" s="1"/>
  <c r="EN39" i="2" s="1"/>
  <c r="EO39" i="2" s="1"/>
  <c r="EP39" i="2" s="1"/>
  <c r="EQ39" i="2" s="1"/>
  <c r="ER39" i="2" s="1"/>
  <c r="ES39" i="2" s="1"/>
  <c r="ET39" i="2" s="1"/>
  <c r="EU39" i="2" s="1"/>
  <c r="EV39" i="2" s="1"/>
  <c r="EW39" i="2" s="1"/>
  <c r="EX39" i="2" s="1"/>
  <c r="EY39" i="2" s="1"/>
  <c r="EZ39" i="2" s="1"/>
  <c r="FA39" i="2" s="1"/>
  <c r="FB39" i="2" s="1"/>
  <c r="FC39" i="2" s="1"/>
  <c r="FD39" i="2" s="1"/>
  <c r="FE39" i="2" s="1"/>
  <c r="FF39" i="2" s="1"/>
  <c r="FG39" i="2" s="1"/>
  <c r="FH39" i="2" s="1"/>
  <c r="FI39" i="2" s="1"/>
  <c r="FJ39" i="2" s="1"/>
  <c r="FK39" i="2" s="1"/>
  <c r="FL39" i="2" s="1"/>
  <c r="FM39" i="2" s="1"/>
  <c r="FN39" i="2" s="1"/>
  <c r="FO39" i="2" s="1"/>
  <c r="Z21" i="2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Y88" i="2"/>
  <c r="Y133" i="2" l="1"/>
  <c r="Z133" i="2" l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AN133" i="2" s="1"/>
  <c r="AO133" i="2" s="1"/>
  <c r="AP133" i="2" s="1"/>
  <c r="AQ133" i="2" s="1"/>
  <c r="AR133" i="2" s="1"/>
  <c r="AS133" i="2" s="1"/>
  <c r="AT133" i="2" s="1"/>
  <c r="AU133" i="2" s="1"/>
  <c r="AV133" i="2" s="1"/>
  <c r="AW133" i="2" s="1"/>
  <c r="AX133" i="2" s="1"/>
  <c r="AY133" i="2" s="1"/>
  <c r="AZ133" i="2" s="1"/>
  <c r="BA133" i="2" s="1"/>
  <c r="BB133" i="2" s="1"/>
  <c r="BC133" i="2" s="1"/>
  <c r="BD133" i="2" s="1"/>
  <c r="BE133" i="2" s="1"/>
  <c r="BF133" i="2" s="1"/>
  <c r="BG133" i="2" s="1"/>
  <c r="BH133" i="2" s="1"/>
  <c r="BI133" i="2" s="1"/>
  <c r="BJ133" i="2" s="1"/>
  <c r="BK133" i="2" s="1"/>
  <c r="BL133" i="2" s="1"/>
  <c r="BM133" i="2" s="1"/>
  <c r="BN133" i="2" s="1"/>
  <c r="BO133" i="2" s="1"/>
  <c r="BP133" i="2" s="1"/>
  <c r="BQ133" i="2" s="1"/>
  <c r="BR133" i="2" s="1"/>
  <c r="BS133" i="2" s="1"/>
  <c r="BT133" i="2" s="1"/>
  <c r="BU133" i="2" s="1"/>
  <c r="BV133" i="2" s="1"/>
  <c r="BW133" i="2" s="1"/>
  <c r="BX133" i="2" s="1"/>
  <c r="BY133" i="2" s="1"/>
  <c r="BZ133" i="2" s="1"/>
  <c r="CA133" i="2" s="1"/>
  <c r="CB133" i="2" s="1"/>
  <c r="CC133" i="2" s="1"/>
  <c r="CD133" i="2" s="1"/>
  <c r="CE133" i="2" s="1"/>
  <c r="CF133" i="2" s="1"/>
  <c r="CG133" i="2" s="1"/>
  <c r="CH133" i="2" s="1"/>
  <c r="CI133" i="2" s="1"/>
  <c r="CJ133" i="2" s="1"/>
  <c r="CK133" i="2" s="1"/>
  <c r="CL133" i="2" s="1"/>
  <c r="CM133" i="2" s="1"/>
  <c r="CN133" i="2" s="1"/>
  <c r="CO133" i="2" s="1"/>
  <c r="CP133" i="2" s="1"/>
  <c r="CQ133" i="2" s="1"/>
  <c r="CR133" i="2" s="1"/>
  <c r="CS133" i="2" s="1"/>
  <c r="CT133" i="2" s="1"/>
  <c r="CU133" i="2" s="1"/>
  <c r="CV133" i="2" s="1"/>
  <c r="CW133" i="2" s="1"/>
  <c r="CX133" i="2" s="1"/>
  <c r="CY133" i="2" s="1"/>
  <c r="CZ133" i="2" s="1"/>
  <c r="DA133" i="2" s="1"/>
  <c r="DB133" i="2" s="1"/>
  <c r="DC133" i="2" s="1"/>
  <c r="DD133" i="2" s="1"/>
  <c r="DE133" i="2" s="1"/>
  <c r="DF133" i="2" s="1"/>
  <c r="DG133" i="2" s="1"/>
  <c r="DH133" i="2" s="1"/>
  <c r="DI133" i="2" s="1"/>
  <c r="DJ133" i="2" s="1"/>
  <c r="DK133" i="2" s="1"/>
  <c r="DL133" i="2" s="1"/>
  <c r="DM133" i="2" s="1"/>
  <c r="DN133" i="2" s="1"/>
  <c r="DO133" i="2" s="1"/>
  <c r="DP133" i="2" s="1"/>
  <c r="DQ133" i="2" s="1"/>
  <c r="DR133" i="2" s="1"/>
  <c r="DS133" i="2" s="1"/>
  <c r="DT133" i="2" s="1"/>
  <c r="DU133" i="2" s="1"/>
  <c r="DV133" i="2" s="1"/>
  <c r="DW133" i="2" s="1"/>
  <c r="DX133" i="2" s="1"/>
  <c r="DY133" i="2" s="1"/>
  <c r="DZ133" i="2" s="1"/>
  <c r="AB13" i="2" s="1"/>
  <c r="AB14" i="2" s="1"/>
</calcChain>
</file>

<file path=xl/sharedStrings.xml><?xml version="1.0" encoding="utf-8"?>
<sst xmlns="http://schemas.openxmlformats.org/spreadsheetml/2006/main" count="151" uniqueCount="123">
  <si>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</si>
  <si>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</si>
  <si>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</si>
  <si>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</si>
  <si>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</si>
  <si>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</si>
  <si>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</si>
  <si>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</si>
  <si>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</si>
  <si>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</si>
  <si>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</si>
  <si>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</si>
  <si>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</si>
  <si>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</si>
  <si>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</si>
  <si>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</si>
  <si>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</si>
  <si>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</si>
  <si>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</si>
  <si>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</si>
  <si>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</si>
  <si>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</si>
  <si>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</si>
  <si>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</si>
  <si>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</si>
  <si>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</si>
  <si>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</si>
  <si>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</si>
  <si>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</si>
  <si>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</si>
  <si>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</si>
  <si>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</si>
  <si>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</si>
  <si>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</si>
  <si>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</si>
  <si>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</si>
  <si>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EPS</t>
  </si>
  <si>
    <t>Net Cash</t>
  </si>
  <si>
    <t>Optimus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</si>
  <si>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</si>
  <si>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</si>
  <si>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</si>
  <si>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</si>
  <si>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</si>
  <si>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</si>
  <si>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</si>
  <si>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</si>
  <si>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</si>
  <si>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</si>
  <si>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</si>
  <si>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</si>
  <si>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</si>
  <si>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</si>
  <si>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</si>
  <si>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</si>
  <si>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</si>
  <si>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</si>
  <si>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</si>
  <si>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</si>
  <si>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</si>
  <si>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</si>
  <si>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</si>
  <si>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</si>
  <si>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</si>
  <si>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</si>
  <si>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</si>
  <si>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</si>
  <si>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</si>
  <si>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</si>
  <si>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</si>
  <si>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ASP</t>
  </si>
  <si>
    <t>Production</t>
  </si>
  <si>
    <t>Deliveries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</si>
  <si>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</si>
  <si>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</si>
  <si>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</si>
  <si>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</si>
  <si>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</si>
  <si>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</si>
  <si>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</si>
  <si>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Assets</t>
  </si>
  <si>
    <t>AP</t>
  </si>
  <si>
    <t>Accrued Liabilties</t>
  </si>
  <si>
    <t>Deferred Revenue</t>
  </si>
  <si>
    <t>LT Deferred Revenue</t>
  </si>
  <si>
    <t>ST Deferred Revenue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</si>
  <si>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</si>
  <si>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</si>
  <si>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</si>
  <si>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</si>
  <si>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</si>
  <si>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</si>
  <si>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</si>
  <si>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</si>
  <si>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</si>
  <si>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</si>
  <si>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</si>
  <si>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</si>
  <si>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</si>
  <si>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</si>
  <si>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</si>
  <si>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</si>
  <si>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D&amp;A</t>
  </si>
  <si>
    <t>Inventory write-downs</t>
  </si>
  <si>
    <t>Non-cash interest</t>
  </si>
  <si>
    <t>Digital Assets Loss</t>
  </si>
  <si>
    <t>Purchase of PP&amp;E</t>
  </si>
  <si>
    <t>Is TSLA still competitive against competitors (mainly china BYD, NIO, etc.) in hardware excluding the autonomous driving?</t>
  </si>
  <si>
    <t>Are there regulatory issues with autonomous driving cars?</t>
  </si>
  <si>
    <t>Is there near-term robotics applications or is it longer term?</t>
  </si>
  <si>
    <t>Share</t>
  </si>
  <si>
    <t>Other TSLA Ventures</t>
  </si>
  <si>
    <t>CapEx</t>
  </si>
  <si>
    <t>A/R</t>
  </si>
  <si>
    <t>Inventories</t>
  </si>
  <si>
    <t>Prepaids</t>
  </si>
  <si>
    <t>DT</t>
  </si>
  <si>
    <t>ONCA</t>
  </si>
  <si>
    <t>OLTL</t>
  </si>
  <si>
    <t>SBC</t>
  </si>
  <si>
    <t>FX Loss</t>
  </si>
  <si>
    <t>Investments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</si>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</sst>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3" fontId="5" fillId="0" borderId="0" xfId="0" applyNumberFormat="1" applyFont="1"/>
    <xf numFmtId="1" fontId="5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9" fontId="5" fillId="0" borderId="0" xfId="0" applyNumberFormat="1" applyFont="1"/>
    <xf numFmtId="9" fontId="7" fillId="0" borderId="0" xfId="0" applyNumberFormat="1" applyFont="1"/>
    <xf numFmtId="0" fontId="7" fillId="0" borderId="0" xfId="0" applyFont="1"/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0" fontId="8" fillId="0" borderId="0" xfId="0" applyFont="1"/>
    <xf numFmtId="3" fontId="3" fillId="0" borderId="0" xfId="0" applyNumberFormat="1" applyFont="1"/>
    <xf numFmtId="3" fontId="9" fillId="0" borderId="0" xfId="1" applyNumberFormat="1" applyFont="1"/>
    <xf numFmtId="3" fontId="2" fillId="0" borderId="0" xfId="0" applyNumberFormat="1" applyFont="1"/>
    <xf numFmtId="9" fontId="2" fillId="0" borderId="0" xfId="0" applyNumberFormat="1" applyFont="1"/>
    <xf numFmtId="14" fontId="5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15</xdr:col>
      <xdr:colOff>19050</xdr:colOff>
      <xdr:row>147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0</xdr:rowOff>
    </xdr:from>
    <xdr:to>
      <xdr:col>7</xdr:col>
      <xdr:colOff>28575</xdr:colOff>
      <xdr:row>137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L13"/>
  <sheetViews>
    <sheetView zoomScale="115" zoomScaleNormal="115" workbookViewId="0">
      <selection activeCell="K3" sqref="K3"/>
    </sheetView>
  </sheetViews>
  <sheetFormatPr defaultRowHeight="12.75" x14ac:dyDescent="0.2"/>
  <cols>
    <col min="1" max="1" width="3.42578125" style="8" customWidth="1"/>
    <col min="2" max="5" width="9.140625" style="8"/>
    <col min="6" max="6" width="10.5703125" style="8" customWidth="1"/>
    <col min="7" max="16384" width="9.140625" style="8"/>
  </cols>
  <sheetData>
    <row r="1" spans="1:12" x14ac:dyDescent="0.2">
      <c r="A1" s="7"/>
    </row>
    <row r="2" spans="1:12" x14ac:dyDescent="0.2">
      <c r="J2" s="8" t="s">
        <v>0</v>
      </c>
      <c r="K2" s="4">
        <v>335</v>
      </c>
    </row>
    <row r="3" spans="1:12" x14ac:dyDescent="0.2">
      <c r="J3" s="8" t="s">
        <v>1</v>
      </c>
      <c r="K3" s="1">
        <v>3220.9560000000001</v>
      </c>
      <c r="L3" s="8" t="s">
        <v>10</v>
      </c>
    </row>
    <row r="4" spans="1:12" x14ac:dyDescent="0.2">
      <c r="J4" s="8" t="s">
        <v>2</v>
      </c>
      <c r="K4" s="1">
        <f>K3*K2</f>
        <v>1079020.26</v>
      </c>
    </row>
    <row r="5" spans="1:12" x14ac:dyDescent="0.2">
      <c r="J5" s="8" t="s">
        <v>3</v>
      </c>
      <c r="K5" s="1">
        <f>16352+20644</f>
        <v>36996</v>
      </c>
      <c r="L5" s="8" t="s">
        <v>10</v>
      </c>
    </row>
    <row r="6" spans="1:12" x14ac:dyDescent="0.2">
      <c r="J6" s="8" t="s">
        <v>4</v>
      </c>
      <c r="K6" s="1">
        <f>5292+3610+11038</f>
        <v>19940</v>
      </c>
      <c r="L6" s="8" t="s">
        <v>10</v>
      </c>
    </row>
    <row r="7" spans="1:12" x14ac:dyDescent="0.2">
      <c r="J7" s="8" t="s">
        <v>5</v>
      </c>
      <c r="K7" s="1">
        <f>K4+K6-K5</f>
        <v>1061964.26</v>
      </c>
    </row>
    <row r="8" spans="1:12" x14ac:dyDescent="0.2">
      <c r="K8" s="9">
        <f>K2/Model!P22</f>
        <v>67.507390006151539</v>
      </c>
    </row>
    <row r="10" spans="1:12" x14ac:dyDescent="0.2">
      <c r="F10" s="11" t="s">
        <v>122</v>
      </c>
    </row>
    <row r="11" spans="1:12" x14ac:dyDescent="0.2">
      <c r="F11" s="10" t="s">
        <v>107</v>
      </c>
    </row>
    <row r="12" spans="1:12" x14ac:dyDescent="0.2">
      <c r="F12" s="10" t="s">
        <v>108</v>
      </c>
    </row>
    <row r="13" spans="1:12" x14ac:dyDescent="0.2">
      <c r="F13" s="10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33"/>
  <sheetViews>
    <sheetView tabSelected="1" zoomScale="130" zoomScaleNormal="130" workbookViewId="0">
      <pane xSplit="2" ySplit="2" topLeftCell="W3" activePane="bottomRight" state="frozen"/>
      <selection pane="topRight" activeCell="B1" sqref="B1"/>
      <selection pane="bottomLeft" activeCell="A2" sqref="A2"/>
      <selection pane="bottomRight" activeCell="AC14" sqref="AC14"/>
    </sheetView>
  </sheetViews>
  <sheetFormatPr defaultRowHeight="12.75" x14ac:dyDescent="0.2"/>
  <cols>
    <col min="1" max="1" width="5" style="1" customWidth="1"/>
    <col min="2" max="2" width="22.140625" style="1" customWidth="1"/>
    <col min="3" max="6" width="9.28515625" style="1" bestFit="1" customWidth="1"/>
    <col min="7" max="10" width="9.7109375" style="1" customWidth="1"/>
    <col min="11" max="11" width="9.140625" style="1"/>
    <col min="12" max="12" width="9.28515625" style="1" bestFit="1" customWidth="1"/>
    <col min="13" max="15" width="10.140625" style="1" bestFit="1" customWidth="1"/>
    <col min="16" max="16" width="10.140625" style="1" customWidth="1"/>
    <col min="17" max="17" width="10.28515625" style="1" customWidth="1"/>
    <col min="18" max="18" width="10" style="1" customWidth="1"/>
    <col min="19" max="19" width="10.42578125" style="1" customWidth="1"/>
    <col min="20" max="20" width="10" style="1" customWidth="1"/>
    <col min="21" max="21" width="10.140625" style="1" bestFit="1" customWidth="1"/>
    <col min="22" max="23" width="10.140625" style="1" customWidth="1"/>
    <col min="24" max="24" width="11.42578125" style="1" customWidth="1"/>
    <col min="25" max="25" width="11.28515625" style="1" customWidth="1"/>
    <col min="26" max="26" width="9.28515625" style="1" bestFit="1" customWidth="1"/>
    <col min="27" max="27" width="10" style="1" customWidth="1"/>
    <col min="28" max="28" width="10.140625" style="1" customWidth="1"/>
    <col min="29" max="172" width="9.28515625" style="1" bestFit="1" customWidth="1"/>
    <col min="173" max="16384" width="9.140625" style="1"/>
  </cols>
  <sheetData>
    <row r="1" spans="1:28" x14ac:dyDescent="0.2">
      <c r="A1" s="13" t="s">
        <v>89</v>
      </c>
      <c r="G1" s="16">
        <v>45769</v>
      </c>
      <c r="H1" s="16">
        <v>45861</v>
      </c>
    </row>
    <row r="2" spans="1:28" x14ac:dyDescent="0.2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94</v>
      </c>
      <c r="I2" s="1" t="s">
        <v>95</v>
      </c>
      <c r="J2" s="1" t="s">
        <v>96</v>
      </c>
      <c r="L2" s="2">
        <v>2021</v>
      </c>
      <c r="M2" s="2">
        <v>2022</v>
      </c>
      <c r="N2" s="2">
        <f>M2+1</f>
        <v>2023</v>
      </c>
      <c r="O2" s="2">
        <f t="shared" ref="O2:T2" si="0">N2+1</f>
        <v>2024</v>
      </c>
      <c r="P2" s="2">
        <f t="shared" si="0"/>
        <v>2025</v>
      </c>
      <c r="Q2" s="2">
        <f t="shared" si="0"/>
        <v>2026</v>
      </c>
      <c r="R2" s="2">
        <f t="shared" si="0"/>
        <v>2027</v>
      </c>
      <c r="S2" s="2">
        <f t="shared" si="0"/>
        <v>2028</v>
      </c>
      <c r="T2" s="2">
        <f t="shared" si="0"/>
        <v>2029</v>
      </c>
      <c r="U2" s="2">
        <f t="shared" ref="U2" si="1">T2+1</f>
        <v>2030</v>
      </c>
      <c r="V2" s="2">
        <f t="shared" ref="V2" si="2">U2+1</f>
        <v>2031</v>
      </c>
      <c r="W2" s="2">
        <f t="shared" ref="W2" si="3">V2+1</f>
        <v>2032</v>
      </c>
      <c r="X2" s="2">
        <f t="shared" ref="X2" si="4">W2+1</f>
        <v>2033</v>
      </c>
      <c r="Y2" s="2">
        <f t="shared" ref="Y2" si="5">X2+1</f>
        <v>2034</v>
      </c>
    </row>
    <row r="3" spans="1:28" x14ac:dyDescent="0.2">
      <c r="B3" s="17" t="s">
        <v>70</v>
      </c>
      <c r="H3" s="1">
        <f>(H8*1000000)/H40</f>
        <v>52083.333333333336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"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">
      <c r="B5" s="1" t="s">
        <v>19</v>
      </c>
      <c r="C5" s="1">
        <f>16460+442+476</f>
        <v>17378</v>
      </c>
      <c r="F5" s="1">
        <v>19798</v>
      </c>
      <c r="G5" s="1">
        <v>13967</v>
      </c>
      <c r="L5" s="1">
        <v>47232</v>
      </c>
      <c r="M5" s="1">
        <v>71462</v>
      </c>
      <c r="N5" s="1">
        <v>82419</v>
      </c>
      <c r="O5" s="1">
        <v>77070</v>
      </c>
      <c r="P5" s="1">
        <f>(P47*P53)/1000000</f>
        <v>105872</v>
      </c>
      <c r="Q5" s="1">
        <f>(Q47*Q53)/1000000</f>
        <v>140493.6</v>
      </c>
      <c r="R5" s="1">
        <f t="shared" ref="R5:U5" si="6">(R47*R53)/1000000</f>
        <v>171634.32</v>
      </c>
      <c r="S5" s="1">
        <f t="shared" si="6"/>
        <v>191917.75200000004</v>
      </c>
      <c r="T5" s="1">
        <f t="shared" si="6"/>
        <v>207286.02960000004</v>
      </c>
      <c r="U5" s="1">
        <f t="shared" si="6"/>
        <v>225528.76008000007</v>
      </c>
      <c r="V5" s="1">
        <f t="shared" ref="V5:Y5" si="7">(V47*V53)/1000000</f>
        <v>247611.78998400009</v>
      </c>
      <c r="W5" s="1">
        <f t="shared" si="7"/>
        <v>274876.07857320009</v>
      </c>
      <c r="X5" s="1">
        <f t="shared" si="7"/>
        <v>309186.97870086017</v>
      </c>
      <c r="Y5" s="1">
        <f t="shared" si="7"/>
        <v>353143.17153480317</v>
      </c>
    </row>
    <row r="6" spans="1:28" x14ac:dyDescent="0.2">
      <c r="B6" s="1" t="s">
        <v>20</v>
      </c>
      <c r="C6" s="1">
        <v>1635</v>
      </c>
      <c r="G6" s="1">
        <v>2730</v>
      </c>
      <c r="L6" s="1">
        <v>2789</v>
      </c>
      <c r="M6" s="1">
        <v>3909</v>
      </c>
      <c r="N6" s="1">
        <v>6035</v>
      </c>
      <c r="O6" s="1">
        <v>10086</v>
      </c>
      <c r="P6" s="1">
        <f>O6*1.5</f>
        <v>15129</v>
      </c>
      <c r="Q6" s="1">
        <f>P6*1.24</f>
        <v>18759.96</v>
      </c>
      <c r="R6" s="1">
        <f t="shared" ref="R6:U6" si="8">Q6*1.24</f>
        <v>23262.350399999999</v>
      </c>
      <c r="S6" s="1">
        <f t="shared" si="8"/>
        <v>28845.314495999999</v>
      </c>
      <c r="T6" s="1">
        <f t="shared" si="8"/>
        <v>35768.189975039997</v>
      </c>
      <c r="U6" s="1">
        <f t="shared" si="8"/>
        <v>44352.555569049597</v>
      </c>
      <c r="V6" s="1">
        <f t="shared" ref="V6" si="9">U6*1.24</f>
        <v>54997.168905621496</v>
      </c>
      <c r="W6" s="1">
        <f t="shared" ref="W6" si="10">V6*1.24</f>
        <v>68196.489442970662</v>
      </c>
      <c r="X6" s="1">
        <f t="shared" ref="X6" si="11">W6*1.24</f>
        <v>84563.64690928362</v>
      </c>
      <c r="Y6" s="1">
        <f t="shared" ref="Y6" si="12">X6*1.24</f>
        <v>104858.92216751169</v>
      </c>
      <c r="AA6" s="12" t="s">
        <v>111</v>
      </c>
    </row>
    <row r="7" spans="1:28" x14ac:dyDescent="0.2">
      <c r="B7" s="1" t="s">
        <v>21</v>
      </c>
      <c r="C7" s="1">
        <v>2288</v>
      </c>
      <c r="G7" s="1">
        <v>2638</v>
      </c>
      <c r="L7" s="1">
        <v>3802</v>
      </c>
      <c r="M7" s="1">
        <v>6091</v>
      </c>
      <c r="N7" s="1">
        <v>8319</v>
      </c>
      <c r="O7" s="1">
        <v>10534</v>
      </c>
      <c r="P7" s="1">
        <f>O7*1.3</f>
        <v>13694.2</v>
      </c>
      <c r="Q7" s="1">
        <f>P7*1.3</f>
        <v>17802.460000000003</v>
      </c>
      <c r="R7" s="1">
        <f t="shared" ref="R7:U7" si="13">Q7*1.3</f>
        <v>23143.198000000004</v>
      </c>
      <c r="S7" s="1">
        <f t="shared" si="13"/>
        <v>30086.157400000007</v>
      </c>
      <c r="T7" s="1">
        <f t="shared" si="13"/>
        <v>39112.004620000014</v>
      </c>
      <c r="U7" s="1">
        <f t="shared" si="13"/>
        <v>50845.606006000024</v>
      </c>
      <c r="V7" s="1">
        <f t="shared" ref="V7" si="14">U7*1.3</f>
        <v>66099.287807800036</v>
      </c>
      <c r="W7" s="1">
        <f t="shared" ref="W7" si="15">V7*1.3</f>
        <v>85929.074150140048</v>
      </c>
      <c r="X7" s="1">
        <f t="shared" ref="X7" si="16">W7*1.3</f>
        <v>111707.79639518207</v>
      </c>
      <c r="Y7" s="1">
        <f t="shared" ref="Y7" si="17">X7*1.3</f>
        <v>145220.13531373671</v>
      </c>
      <c r="AA7" s="3" t="s">
        <v>17</v>
      </c>
      <c r="AB7" s="3">
        <f>AB79+AB50+AB72</f>
        <v>486871.47789864219</v>
      </c>
    </row>
    <row r="8" spans="1:28" s="3" customFormat="1" x14ac:dyDescent="0.2">
      <c r="B8" s="3" t="s">
        <v>11</v>
      </c>
      <c r="C8" s="3">
        <f>SUM(C5:C7)</f>
        <v>21301</v>
      </c>
      <c r="D8" s="3">
        <f t="shared" ref="D8:G8" si="18">SUM(D5:D7)</f>
        <v>0</v>
      </c>
      <c r="E8" s="3">
        <f t="shared" si="18"/>
        <v>0</v>
      </c>
      <c r="F8" s="3">
        <f t="shared" si="18"/>
        <v>19798</v>
      </c>
      <c r="G8" s="3">
        <f t="shared" si="18"/>
        <v>19335</v>
      </c>
      <c r="H8" s="3">
        <v>20000</v>
      </c>
      <c r="I8" s="3">
        <f t="shared" ref="I8" si="19">SUM(I5:I7)</f>
        <v>0</v>
      </c>
      <c r="J8" s="3">
        <f t="shared" ref="J8" si="20">SUM(J5:J7)</f>
        <v>0</v>
      </c>
      <c r="L8" s="3">
        <f t="shared" ref="L8:T8" si="21">SUM(L5:L7)</f>
        <v>53823</v>
      </c>
      <c r="M8" s="3">
        <f t="shared" si="21"/>
        <v>81462</v>
      </c>
      <c r="N8" s="3">
        <f t="shared" si="21"/>
        <v>96773</v>
      </c>
      <c r="O8" s="3">
        <f t="shared" si="21"/>
        <v>97690</v>
      </c>
      <c r="P8" s="3">
        <f t="shared" si="21"/>
        <v>134695.20000000001</v>
      </c>
      <c r="Q8" s="3">
        <f t="shared" si="21"/>
        <v>177056.02</v>
      </c>
      <c r="R8" s="3">
        <f t="shared" si="21"/>
        <v>218039.86840000001</v>
      </c>
      <c r="S8" s="3">
        <f t="shared" si="21"/>
        <v>250849.22389600004</v>
      </c>
      <c r="T8" s="3">
        <f t="shared" si="21"/>
        <v>282166.22419504006</v>
      </c>
      <c r="U8" s="3">
        <f t="shared" ref="U8:Y8" si="22">SUM(U5:U7)</f>
        <v>320726.92165504966</v>
      </c>
      <c r="V8" s="3">
        <f t="shared" si="22"/>
        <v>368708.24669742165</v>
      </c>
      <c r="W8" s="3">
        <f t="shared" si="22"/>
        <v>429001.6421663108</v>
      </c>
      <c r="X8" s="3">
        <f t="shared" si="22"/>
        <v>505458.42200532585</v>
      </c>
      <c r="Y8" s="3">
        <f t="shared" si="22"/>
        <v>603222.22901605163</v>
      </c>
      <c r="AA8" s="1"/>
      <c r="AB8" s="1"/>
    </row>
    <row r="9" spans="1:28" x14ac:dyDescent="0.2">
      <c r="B9" s="1" t="s">
        <v>22</v>
      </c>
      <c r="C9" s="1">
        <v>14166</v>
      </c>
      <c r="G9" s="1">
        <v>11700</v>
      </c>
      <c r="L9" s="1">
        <f>32415+978</f>
        <v>33393</v>
      </c>
      <c r="M9" s="1">
        <v>51108</v>
      </c>
      <c r="N9" s="1">
        <v>66389</v>
      </c>
      <c r="O9" s="1">
        <v>62873</v>
      </c>
      <c r="P9" s="1">
        <f t="shared" ref="P9:U11" si="23">P5*(1-P25)</f>
        <v>79575.000295834456</v>
      </c>
      <c r="Q9" s="1">
        <f t="shared" si="23"/>
        <v>102107.47171867099</v>
      </c>
      <c r="R9" s="1">
        <f t="shared" si="23"/>
        <v>120050.37078453008</v>
      </c>
      <c r="S9" s="1">
        <f t="shared" si="23"/>
        <v>128469.70075950997</v>
      </c>
      <c r="T9" s="1">
        <f t="shared" si="23"/>
        <v>131904.34166605427</v>
      </c>
      <c r="U9" s="1">
        <f t="shared" si="23"/>
        <v>135311.33196959973</v>
      </c>
      <c r="V9" s="1">
        <f t="shared" ref="V9:Y9" si="24">V5*(1-V25)</f>
        <v>147570.05764446425</v>
      </c>
      <c r="W9" s="1">
        <f t="shared" si="24"/>
        <v>162708.27803451172</v>
      </c>
      <c r="X9" s="1">
        <f t="shared" si="24"/>
        <v>181756.34970085201</v>
      </c>
      <c r="Y9" s="1">
        <f t="shared" si="24"/>
        <v>206140.63853204876</v>
      </c>
      <c r="AA9" s="1" t="s">
        <v>69</v>
      </c>
      <c r="AB9" s="5">
        <v>0.02</v>
      </c>
    </row>
    <row r="10" spans="1:28" x14ac:dyDescent="0.2">
      <c r="B10" s="1" t="s">
        <v>23</v>
      </c>
      <c r="C10" s="1">
        <v>1232</v>
      </c>
      <c r="G10" s="1">
        <v>1945</v>
      </c>
      <c r="L10" s="1">
        <v>2918</v>
      </c>
      <c r="M10" s="1">
        <v>3621</v>
      </c>
      <c r="N10" s="1">
        <v>4894</v>
      </c>
      <c r="O10" s="1">
        <v>7446</v>
      </c>
      <c r="P10" s="1">
        <f t="shared" si="23"/>
        <v>9657.6904109589032</v>
      </c>
      <c r="Q10" s="1">
        <f t="shared" si="23"/>
        <v>11839.84763178082</v>
      </c>
      <c r="R10" s="1">
        <f t="shared" si="23"/>
        <v>14509.792276676384</v>
      </c>
      <c r="S10" s="1">
        <f t="shared" si="23"/>
        <v>17775.078981620289</v>
      </c>
      <c r="T10" s="1">
        <f t="shared" si="23"/>
        <v>21766.556096452536</v>
      </c>
      <c r="U10" s="1">
        <f t="shared" si="23"/>
        <v>26643.289039412179</v>
      </c>
      <c r="V10" s="1">
        <f t="shared" ref="V10:Y10" si="25">V6*(1-V26)</f>
        <v>32818.083503903596</v>
      </c>
      <c r="W10" s="1">
        <f t="shared" si="25"/>
        <v>40419.402885859163</v>
      </c>
      <c r="X10" s="1">
        <f t="shared" si="25"/>
        <v>49775.623705157166</v>
      </c>
      <c r="Y10" s="1">
        <f t="shared" si="25"/>
        <v>61290.401906663727</v>
      </c>
      <c r="AA10" s="1" t="s">
        <v>15</v>
      </c>
      <c r="AB10" s="5">
        <v>0.01</v>
      </c>
    </row>
    <row r="11" spans="1:28" x14ac:dyDescent="0.2">
      <c r="B11" s="1" t="s">
        <v>24</v>
      </c>
      <c r="C11" s="1">
        <v>2207</v>
      </c>
      <c r="G11" s="1">
        <v>2537</v>
      </c>
      <c r="L11" s="1">
        <v>3906</v>
      </c>
      <c r="M11" s="1">
        <v>5880</v>
      </c>
      <c r="N11" s="1">
        <v>7830</v>
      </c>
      <c r="O11" s="1">
        <v>9921</v>
      </c>
      <c r="P11" s="1">
        <f t="shared" si="23"/>
        <v>12872.548000000001</v>
      </c>
      <c r="Q11" s="1">
        <f t="shared" si="23"/>
        <v>16734.312400000003</v>
      </c>
      <c r="R11" s="1">
        <f t="shared" si="23"/>
        <v>21754.606120000004</v>
      </c>
      <c r="S11" s="1">
        <f t="shared" si="23"/>
        <v>28280.987956000004</v>
      </c>
      <c r="T11" s="1">
        <f t="shared" si="23"/>
        <v>36765.284342800012</v>
      </c>
      <c r="U11" s="1">
        <f t="shared" si="23"/>
        <v>47794.869645640021</v>
      </c>
      <c r="V11" s="1">
        <f t="shared" ref="V11:Y11" si="26">V7*(1-V27)</f>
        <v>62133.330539332033</v>
      </c>
      <c r="W11" s="1">
        <f t="shared" si="26"/>
        <v>80773.329701131646</v>
      </c>
      <c r="X11" s="1">
        <f t="shared" si="26"/>
        <v>105005.32861147114</v>
      </c>
      <c r="Y11" s="1">
        <f t="shared" si="26"/>
        <v>136506.92719491251</v>
      </c>
      <c r="AA11" s="1" t="s">
        <v>16</v>
      </c>
      <c r="AB11" s="5">
        <v>0.1</v>
      </c>
    </row>
    <row r="12" spans="1:28" x14ac:dyDescent="0.2">
      <c r="B12" s="1" t="s">
        <v>25</v>
      </c>
      <c r="C12" s="1">
        <f>SUM(C9:C11)</f>
        <v>17605</v>
      </c>
      <c r="D12" s="1">
        <f t="shared" ref="D12:G12" si="27">SUM(D9:D11)</f>
        <v>0</v>
      </c>
      <c r="E12" s="1">
        <f t="shared" si="27"/>
        <v>0</v>
      </c>
      <c r="F12" s="1">
        <f t="shared" si="27"/>
        <v>0</v>
      </c>
      <c r="G12" s="1">
        <f t="shared" si="27"/>
        <v>16182</v>
      </c>
      <c r="H12" s="1">
        <f t="shared" ref="H12" si="28">SUM(H9:H11)</f>
        <v>0</v>
      </c>
      <c r="I12" s="1">
        <f t="shared" ref="I12" si="29">SUM(I9:I11)</f>
        <v>0</v>
      </c>
      <c r="J12" s="1">
        <f t="shared" ref="J12" si="30">SUM(J9:J11)</f>
        <v>0</v>
      </c>
      <c r="L12" s="1">
        <f>SUM(L9:L11)</f>
        <v>40217</v>
      </c>
      <c r="M12" s="1">
        <f>SUM(M9:M11)</f>
        <v>60609</v>
      </c>
      <c r="N12" s="1">
        <f t="shared" ref="N12:T12" si="31">SUM(N9:N11)</f>
        <v>79113</v>
      </c>
      <c r="O12" s="1">
        <f t="shared" si="31"/>
        <v>80240</v>
      </c>
      <c r="P12" s="1">
        <f t="shared" si="31"/>
        <v>102105.23870679336</v>
      </c>
      <c r="Q12" s="1">
        <f t="shared" si="31"/>
        <v>130681.63175045181</v>
      </c>
      <c r="R12" s="1">
        <f t="shared" si="31"/>
        <v>156314.76918120647</v>
      </c>
      <c r="S12" s="1">
        <f t="shared" si="31"/>
        <v>174525.76769713024</v>
      </c>
      <c r="T12" s="1">
        <f t="shared" si="31"/>
        <v>190436.1821053068</v>
      </c>
      <c r="U12" s="1">
        <f t="shared" ref="U12:Y12" si="32">SUM(U9:U11)</f>
        <v>209749.49065465195</v>
      </c>
      <c r="V12" s="1">
        <f t="shared" si="32"/>
        <v>242521.47168769987</v>
      </c>
      <c r="W12" s="1">
        <f t="shared" si="32"/>
        <v>283901.01062150253</v>
      </c>
      <c r="X12" s="1">
        <f t="shared" si="32"/>
        <v>336537.30201748031</v>
      </c>
      <c r="Y12" s="1">
        <f t="shared" si="32"/>
        <v>403937.96763362497</v>
      </c>
      <c r="AA12" s="3" t="s">
        <v>17</v>
      </c>
      <c r="AB12" s="3">
        <f>NPV(AB11,P21:FP21)+Main!K5-Main!K6+AB7</f>
        <v>1361879.159516497</v>
      </c>
    </row>
    <row r="13" spans="1:28" s="3" customFormat="1" x14ac:dyDescent="0.2">
      <c r="B13" s="3" t="s">
        <v>30</v>
      </c>
      <c r="C13" s="3">
        <f>C8-C12</f>
        <v>3696</v>
      </c>
      <c r="D13" s="3">
        <f t="shared" ref="D13:G13" si="33">D8-D12</f>
        <v>0</v>
      </c>
      <c r="E13" s="3">
        <f t="shared" si="33"/>
        <v>0</v>
      </c>
      <c r="F13" s="3">
        <f t="shared" si="33"/>
        <v>19798</v>
      </c>
      <c r="G13" s="3">
        <f t="shared" si="33"/>
        <v>3153</v>
      </c>
      <c r="H13" s="3">
        <f t="shared" ref="H13" si="34">H8-H12</f>
        <v>20000</v>
      </c>
      <c r="I13" s="3">
        <f t="shared" ref="I13" si="35">I8-I12</f>
        <v>0</v>
      </c>
      <c r="J13" s="3">
        <f t="shared" ref="J13" si="36">J8-J12</f>
        <v>0</v>
      </c>
      <c r="L13" s="3">
        <f>L8-L12</f>
        <v>13606</v>
      </c>
      <c r="M13" s="3">
        <f>M8-M12</f>
        <v>20853</v>
      </c>
      <c r="N13" s="3">
        <f t="shared" ref="N13:T13" si="37">N8-N12</f>
        <v>17660</v>
      </c>
      <c r="O13" s="3">
        <f t="shared" si="37"/>
        <v>17450</v>
      </c>
      <c r="P13" s="3">
        <f t="shared" si="37"/>
        <v>32589.961293206652</v>
      </c>
      <c r="Q13" s="3">
        <f t="shared" si="37"/>
        <v>46374.388249548181</v>
      </c>
      <c r="R13" s="3">
        <f t="shared" si="37"/>
        <v>61725.099218793534</v>
      </c>
      <c r="S13" s="3">
        <f t="shared" si="37"/>
        <v>76323.456198869797</v>
      </c>
      <c r="T13" s="3">
        <f t="shared" si="37"/>
        <v>91730.042089733266</v>
      </c>
      <c r="U13" s="3">
        <f t="shared" ref="U13:Y13" si="38">U8-U12</f>
        <v>110977.43100039772</v>
      </c>
      <c r="V13" s="3">
        <f t="shared" si="38"/>
        <v>126186.77500972178</v>
      </c>
      <c r="W13" s="3">
        <f t="shared" si="38"/>
        <v>145100.63154480828</v>
      </c>
      <c r="X13" s="3">
        <f t="shared" si="38"/>
        <v>168921.11998784554</v>
      </c>
      <c r="Y13" s="3">
        <f t="shared" si="38"/>
        <v>199284.26138242666</v>
      </c>
      <c r="AA13" s="12" t="s">
        <v>110</v>
      </c>
      <c r="AB13" s="1">
        <f>AB12/Main!K3</f>
        <v>422.81830596769936</v>
      </c>
    </row>
    <row r="14" spans="1:28" x14ac:dyDescent="0.2">
      <c r="B14" s="1" t="s">
        <v>31</v>
      </c>
      <c r="C14" s="1">
        <v>1151</v>
      </c>
      <c r="G14" s="1">
        <v>1409</v>
      </c>
      <c r="L14" s="1">
        <v>2593</v>
      </c>
      <c r="M14" s="1">
        <v>3075</v>
      </c>
      <c r="N14" s="1">
        <v>3969</v>
      </c>
      <c r="O14" s="1">
        <v>4540</v>
      </c>
      <c r="P14" s="1">
        <f t="shared" ref="P14:Y14" si="39">O14*(1+P32)</f>
        <v>6259.7625959668349</v>
      </c>
      <c r="Q14" s="1">
        <f t="shared" si="39"/>
        <v>8228.4198055072175</v>
      </c>
      <c r="R14" s="1">
        <f t="shared" si="39"/>
        <v>10133.084272044223</v>
      </c>
      <c r="S14" s="1">
        <f t="shared" si="39"/>
        <v>11657.851125886378</v>
      </c>
      <c r="T14" s="1">
        <f t="shared" si="39"/>
        <v>13113.262952661296</v>
      </c>
      <c r="U14" s="1">
        <f t="shared" si="39"/>
        <v>14905.31502010365</v>
      </c>
      <c r="V14" s="1">
        <f t="shared" si="39"/>
        <v>17135.176988497231</v>
      </c>
      <c r="W14" s="1">
        <f t="shared" si="39"/>
        <v>19937.224438888847</v>
      </c>
      <c r="X14" s="1">
        <f t="shared" si="39"/>
        <v>23490.441559055991</v>
      </c>
      <c r="Y14" s="1">
        <f t="shared" si="39"/>
        <v>28033.871632028608</v>
      </c>
      <c r="AB14" s="5">
        <f>AB13/Main!K2-1</f>
        <v>0.26214419691850566</v>
      </c>
    </row>
    <row r="15" spans="1:28" x14ac:dyDescent="0.2">
      <c r="B15" s="1" t="s">
        <v>32</v>
      </c>
      <c r="C15" s="1">
        <v>1374</v>
      </c>
      <c r="G15" s="1">
        <v>1251</v>
      </c>
      <c r="L15" s="1">
        <v>4517</v>
      </c>
      <c r="M15" s="1">
        <v>3946</v>
      </c>
      <c r="N15" s="1">
        <v>4800</v>
      </c>
      <c r="O15" s="1">
        <v>5150</v>
      </c>
      <c r="P15" s="1">
        <f t="shared" ref="P15:Y15" si="40">O15*(1+P32)</f>
        <v>7100.832019654008</v>
      </c>
      <c r="Q15" s="1">
        <f t="shared" si="40"/>
        <v>9334.000440167878</v>
      </c>
      <c r="R15" s="1">
        <f t="shared" si="40"/>
        <v>11494.577973794656</v>
      </c>
      <c r="S15" s="1">
        <f t="shared" si="40"/>
        <v>13224.214382888731</v>
      </c>
      <c r="T15" s="1">
        <f t="shared" si="40"/>
        <v>14875.177137930763</v>
      </c>
      <c r="U15" s="1">
        <f t="shared" si="40"/>
        <v>16908.011531615371</v>
      </c>
      <c r="V15" s="1">
        <f t="shared" si="40"/>
        <v>19437.480504572846</v>
      </c>
      <c r="W15" s="1">
        <f t="shared" si="40"/>
        <v>22616.01450666906</v>
      </c>
      <c r="X15" s="1">
        <f t="shared" si="40"/>
        <v>26646.64626192474</v>
      </c>
      <c r="Y15" s="1">
        <f t="shared" si="40"/>
        <v>31800.537203732882</v>
      </c>
    </row>
    <row r="16" spans="1:28" x14ac:dyDescent="0.2">
      <c r="B16" s="1" t="s">
        <v>93</v>
      </c>
      <c r="C16" s="1">
        <f>SUM(C14:C15)</f>
        <v>2525</v>
      </c>
      <c r="D16" s="1">
        <f t="shared" ref="D16:G16" si="41">SUM(D14:D15)</f>
        <v>0</v>
      </c>
      <c r="E16" s="1">
        <f t="shared" si="41"/>
        <v>0</v>
      </c>
      <c r="F16" s="1">
        <f t="shared" si="41"/>
        <v>0</v>
      </c>
      <c r="G16" s="1">
        <f t="shared" si="41"/>
        <v>2660</v>
      </c>
      <c r="H16" s="1">
        <f t="shared" ref="H16" si="42">SUM(H14:H15)</f>
        <v>0</v>
      </c>
      <c r="I16" s="1">
        <f t="shared" ref="I16" si="43">SUM(I14:I15)</f>
        <v>0</v>
      </c>
      <c r="J16" s="1">
        <f t="shared" ref="J16" si="44">SUM(J14:J15)</f>
        <v>0</v>
      </c>
      <c r="L16" s="1">
        <f>SUM(L14:L15)</f>
        <v>7110</v>
      </c>
      <c r="M16" s="1">
        <f>SUM(M14:M15)</f>
        <v>7021</v>
      </c>
      <c r="N16" s="1">
        <f t="shared" ref="N16:P16" si="45">SUM(N14:N15)</f>
        <v>8769</v>
      </c>
      <c r="O16" s="1">
        <f t="shared" si="45"/>
        <v>9690</v>
      </c>
      <c r="P16" s="1">
        <f t="shared" si="45"/>
        <v>13360.594615620843</v>
      </c>
      <c r="Q16" s="1">
        <f t="shared" ref="Q16" si="46">SUM(Q14:Q15)</f>
        <v>17562.420245675094</v>
      </c>
      <c r="R16" s="1">
        <f t="shared" ref="R16" si="47">SUM(R14:R15)</f>
        <v>21627.662245838881</v>
      </c>
      <c r="S16" s="1">
        <f t="shared" ref="S16" si="48">SUM(S14:S15)</f>
        <v>24882.065508775107</v>
      </c>
      <c r="T16" s="1">
        <f t="shared" ref="T16:U16" si="49">SUM(T14:T15)</f>
        <v>27988.440090592059</v>
      </c>
      <c r="U16" s="1">
        <f t="shared" si="49"/>
        <v>31813.326551719023</v>
      </c>
      <c r="V16" s="1">
        <f t="shared" ref="V16:Y16" si="50">SUM(V14:V15)</f>
        <v>36572.657493070074</v>
      </c>
      <c r="W16" s="1">
        <f t="shared" si="50"/>
        <v>42553.23894555791</v>
      </c>
      <c r="X16" s="1">
        <f t="shared" si="50"/>
        <v>50137.087820980727</v>
      </c>
      <c r="Y16" s="1">
        <f t="shared" si="50"/>
        <v>59834.408835761489</v>
      </c>
    </row>
    <row r="17" spans="1:172" x14ac:dyDescent="0.2">
      <c r="B17" s="1" t="s">
        <v>92</v>
      </c>
      <c r="C17" s="1">
        <f>C13-C16</f>
        <v>1171</v>
      </c>
      <c r="D17" s="1">
        <f t="shared" ref="D17:G17" si="51">D13-D16</f>
        <v>0</v>
      </c>
      <c r="E17" s="1">
        <f t="shared" si="51"/>
        <v>0</v>
      </c>
      <c r="F17" s="1">
        <f t="shared" si="51"/>
        <v>19798</v>
      </c>
      <c r="G17" s="1">
        <f t="shared" si="51"/>
        <v>493</v>
      </c>
      <c r="H17" s="1">
        <f t="shared" ref="H17" si="52">H13-H16</f>
        <v>20000</v>
      </c>
      <c r="I17" s="1">
        <f t="shared" ref="I17" si="53">I13-I16</f>
        <v>0</v>
      </c>
      <c r="J17" s="1">
        <f t="shared" ref="J17" si="54">J13-J16</f>
        <v>0</v>
      </c>
      <c r="L17" s="1">
        <f>L13-L16</f>
        <v>6496</v>
      </c>
      <c r="M17" s="1">
        <f>M13-M16</f>
        <v>13832</v>
      </c>
      <c r="N17" s="1">
        <f t="shared" ref="N17:T17" si="55">N13-N16</f>
        <v>8891</v>
      </c>
      <c r="O17" s="1">
        <f t="shared" si="55"/>
        <v>7760</v>
      </c>
      <c r="P17" s="1">
        <f t="shared" si="55"/>
        <v>19229.366677585807</v>
      </c>
      <c r="Q17" s="1">
        <f t="shared" si="55"/>
        <v>28811.968003873088</v>
      </c>
      <c r="R17" s="1">
        <f t="shared" si="55"/>
        <v>40097.436972954652</v>
      </c>
      <c r="S17" s="1">
        <f t="shared" si="55"/>
        <v>51441.390690094689</v>
      </c>
      <c r="T17" s="1">
        <f t="shared" si="55"/>
        <v>63741.601999141203</v>
      </c>
      <c r="U17" s="1">
        <f t="shared" ref="U17:Y17" si="56">U13-U16</f>
        <v>79164.1044486787</v>
      </c>
      <c r="V17" s="1">
        <f t="shared" si="56"/>
        <v>89614.117516651706</v>
      </c>
      <c r="W17" s="1">
        <f t="shared" si="56"/>
        <v>102547.39259925036</v>
      </c>
      <c r="X17" s="1">
        <f t="shared" si="56"/>
        <v>118784.03216686481</v>
      </c>
      <c r="Y17" s="1">
        <f t="shared" si="56"/>
        <v>139449.85254666518</v>
      </c>
    </row>
    <row r="18" spans="1:172" x14ac:dyDescent="0.2">
      <c r="B18" s="1" t="s">
        <v>35</v>
      </c>
      <c r="C18" s="1">
        <f>350-76</f>
        <v>274</v>
      </c>
      <c r="D18" s="3"/>
      <c r="E18" s="3"/>
      <c r="F18" s="3"/>
      <c r="G18" s="1">
        <f>400-91</f>
        <v>309</v>
      </c>
      <c r="H18" s="3"/>
      <c r="I18" s="3"/>
      <c r="J18" s="3"/>
      <c r="K18" s="3"/>
      <c r="L18" s="1">
        <v>56</v>
      </c>
      <c r="M18" s="1">
        <f>296-191</f>
        <v>105</v>
      </c>
      <c r="N18" s="1">
        <f>1066-156</f>
        <v>910</v>
      </c>
      <c r="O18" s="1">
        <f>1569-350</f>
        <v>1219</v>
      </c>
      <c r="P18" s="1">
        <f>O88*$AB$9</f>
        <v>503.64</v>
      </c>
      <c r="Q18" s="1">
        <f>P88*$AB$9</f>
        <v>823.31470817689001</v>
      </c>
      <c r="R18" s="1">
        <f>Q88*$AB$9</f>
        <v>1303.4062881120997</v>
      </c>
      <c r="S18" s="1">
        <f>R88*$AB$9</f>
        <v>1974.0999489413809</v>
      </c>
      <c r="T18" s="1">
        <f>S88*$AB$9</f>
        <v>2839.4308972937656</v>
      </c>
      <c r="U18" s="1">
        <f>T88*$AB$9</f>
        <v>3918.0436302160124</v>
      </c>
      <c r="V18" s="1">
        <f>U88*$AB$9</f>
        <v>5263.9744290941071</v>
      </c>
      <c r="W18" s="1">
        <f>V88*$AB$9</f>
        <v>6800.9995186151891</v>
      </c>
      <c r="X18" s="1">
        <f>W88*$AB$9</f>
        <v>8572.4434709246107</v>
      </c>
      <c r="Y18" s="1">
        <f>X88*$AB$9</f>
        <v>10635.6183762568</v>
      </c>
    </row>
    <row r="19" spans="1:172" x14ac:dyDescent="0.2">
      <c r="B19" s="1" t="s">
        <v>33</v>
      </c>
      <c r="C19" s="1">
        <f>C17+C18</f>
        <v>1445</v>
      </c>
      <c r="D19" s="1">
        <f t="shared" ref="D19:G19" si="57">D17+D18</f>
        <v>0</v>
      </c>
      <c r="E19" s="1">
        <f t="shared" si="57"/>
        <v>0</v>
      </c>
      <c r="F19" s="1">
        <f t="shared" si="57"/>
        <v>19798</v>
      </c>
      <c r="G19" s="1">
        <f t="shared" si="57"/>
        <v>802</v>
      </c>
      <c r="H19" s="1">
        <f t="shared" ref="H19" si="58">H17+H18</f>
        <v>20000</v>
      </c>
      <c r="I19" s="1">
        <f t="shared" ref="I19" si="59">I17+I18</f>
        <v>0</v>
      </c>
      <c r="J19" s="1">
        <f t="shared" ref="J19" si="60">J17+J18</f>
        <v>0</v>
      </c>
      <c r="L19" s="1">
        <f>L17+L18</f>
        <v>6552</v>
      </c>
      <c r="M19" s="1">
        <f>M17+M18</f>
        <v>13937</v>
      </c>
      <c r="N19" s="1">
        <f t="shared" ref="N19:T19" si="61">N17+N18</f>
        <v>9801</v>
      </c>
      <c r="O19" s="1">
        <f t="shared" si="61"/>
        <v>8979</v>
      </c>
      <c r="P19" s="1">
        <f t="shared" si="61"/>
        <v>19733.006677585807</v>
      </c>
      <c r="Q19" s="1">
        <f t="shared" si="61"/>
        <v>29635.282712049979</v>
      </c>
      <c r="R19" s="1">
        <f t="shared" si="61"/>
        <v>41400.843261066751</v>
      </c>
      <c r="S19" s="1">
        <f t="shared" si="61"/>
        <v>53415.49063903607</v>
      </c>
      <c r="T19" s="1">
        <f t="shared" si="61"/>
        <v>66581.032896434976</v>
      </c>
      <c r="U19" s="1">
        <f t="shared" ref="U19:Y19" si="62">U17+U18</f>
        <v>83082.148078894708</v>
      </c>
      <c r="V19" s="1">
        <f t="shared" si="62"/>
        <v>94878.091945745808</v>
      </c>
      <c r="W19" s="1">
        <f t="shared" si="62"/>
        <v>109348.39211786556</v>
      </c>
      <c r="X19" s="1">
        <f t="shared" si="62"/>
        <v>127356.47563778942</v>
      </c>
      <c r="Y19" s="1">
        <f t="shared" si="62"/>
        <v>150085.47092292199</v>
      </c>
    </row>
    <row r="20" spans="1:172" x14ac:dyDescent="0.2">
      <c r="B20" s="1" t="s">
        <v>34</v>
      </c>
      <c r="C20" s="1">
        <v>483</v>
      </c>
      <c r="G20" s="1">
        <v>169</v>
      </c>
      <c r="L20" s="1">
        <v>699</v>
      </c>
      <c r="M20" s="1">
        <v>1132</v>
      </c>
      <c r="N20" s="1">
        <v>-5001</v>
      </c>
      <c r="O20" s="1">
        <v>1837</v>
      </c>
      <c r="P20" s="1">
        <f>P19*0.19</f>
        <v>3749.2712687413032</v>
      </c>
      <c r="Q20" s="1">
        <f t="shared" ref="Q20:Y20" si="63">Q19*0.19</f>
        <v>5630.7037152894964</v>
      </c>
      <c r="R20" s="1">
        <f t="shared" si="63"/>
        <v>7866.1602196026824</v>
      </c>
      <c r="S20" s="1">
        <f t="shared" si="63"/>
        <v>10148.943221416854</v>
      </c>
      <c r="T20" s="1">
        <f t="shared" si="63"/>
        <v>12650.396250322645</v>
      </c>
      <c r="U20" s="1">
        <f t="shared" si="63"/>
        <v>15785.608134989994</v>
      </c>
      <c r="V20" s="1">
        <f t="shared" si="63"/>
        <v>18026.837469691705</v>
      </c>
      <c r="W20" s="1">
        <f t="shared" si="63"/>
        <v>20776.194502394457</v>
      </c>
      <c r="X20" s="1">
        <f t="shared" si="63"/>
        <v>24197.73037117999</v>
      </c>
      <c r="Y20" s="1">
        <f t="shared" si="63"/>
        <v>28516.239475355178</v>
      </c>
    </row>
    <row r="21" spans="1:172" x14ac:dyDescent="0.2">
      <c r="B21" s="3" t="s">
        <v>18</v>
      </c>
      <c r="C21" s="3">
        <f>C19-C20</f>
        <v>962</v>
      </c>
      <c r="D21" s="3">
        <f t="shared" ref="D21:G21" si="64">D19-D20</f>
        <v>0</v>
      </c>
      <c r="E21" s="3">
        <f t="shared" si="64"/>
        <v>0</v>
      </c>
      <c r="F21" s="3">
        <f t="shared" si="64"/>
        <v>19798</v>
      </c>
      <c r="G21" s="3">
        <f t="shared" si="64"/>
        <v>633</v>
      </c>
      <c r="H21" s="3">
        <f t="shared" ref="H21" si="65">H19-H20</f>
        <v>20000</v>
      </c>
      <c r="I21" s="3">
        <f t="shared" ref="I21" si="66">I19-I20</f>
        <v>0</v>
      </c>
      <c r="J21" s="3">
        <f t="shared" ref="J21" si="67">J19-J20</f>
        <v>0</v>
      </c>
      <c r="K21" s="3"/>
      <c r="L21" s="3">
        <f>L19-L20</f>
        <v>5853</v>
      </c>
      <c r="M21" s="3">
        <f>M19-M20</f>
        <v>12805</v>
      </c>
      <c r="N21" s="3">
        <f t="shared" ref="N21:O21" si="68">N19-N20</f>
        <v>14802</v>
      </c>
      <c r="O21" s="3">
        <f t="shared" si="68"/>
        <v>7142</v>
      </c>
      <c r="P21" s="3">
        <f t="shared" ref="P21" si="69">P19-P20</f>
        <v>15983.735408844503</v>
      </c>
      <c r="Q21" s="3">
        <f t="shared" ref="Q21" si="70">Q19-Q20</f>
        <v>24004.578996760483</v>
      </c>
      <c r="R21" s="3">
        <f t="shared" ref="R21" si="71">R19-R20</f>
        <v>33534.683041464072</v>
      </c>
      <c r="S21" s="3">
        <f t="shared" ref="S21" si="72">S19-S20</f>
        <v>43266.547417619215</v>
      </c>
      <c r="T21" s="3">
        <f t="shared" ref="T21:U21" si="73">T19-T20</f>
        <v>53930.636646112333</v>
      </c>
      <c r="U21" s="3">
        <f t="shared" si="73"/>
        <v>67296.539943904718</v>
      </c>
      <c r="V21" s="3">
        <f t="shared" ref="V21:Y21" si="74">V19-V20</f>
        <v>76851.254476054106</v>
      </c>
      <c r="W21" s="3">
        <f t="shared" si="74"/>
        <v>88572.197615471101</v>
      </c>
      <c r="X21" s="3">
        <f t="shared" si="74"/>
        <v>103158.74526660943</v>
      </c>
      <c r="Y21" s="3">
        <f t="shared" si="74"/>
        <v>121569.23144756681</v>
      </c>
      <c r="Z21" s="3">
        <f>Y21*(1+$AB$10)</f>
        <v>122784.92376204248</v>
      </c>
      <c r="AA21" s="3">
        <f>Z21*(1+$AB$10)</f>
        <v>124012.77299966291</v>
      </c>
      <c r="AB21" s="3">
        <f>AA21*(1+$AB$10)</f>
        <v>125252.90072965954</v>
      </c>
      <c r="AC21" s="3">
        <f>AB21*(1+$AB$10)</f>
        <v>126505.42973695614</v>
      </c>
      <c r="AD21" s="3">
        <f>AC21*(1+$AB$10)</f>
        <v>127770.48403432569</v>
      </c>
      <c r="AE21" s="3">
        <f>AD21*(1+$AB$10)</f>
        <v>129048.18887466895</v>
      </c>
      <c r="AF21" s="3">
        <f>AE21*(1+$AB$10)</f>
        <v>130338.67076341565</v>
      </c>
      <c r="AG21" s="3">
        <f>AF21*(1+$AB$10)</f>
        <v>131642.0574710498</v>
      </c>
      <c r="AH21" s="3">
        <f>AG21*(1+$AB$10)</f>
        <v>132958.4780457603</v>
      </c>
      <c r="AI21" s="3">
        <f>AH21*(1+$AB$10)</f>
        <v>134288.06282621791</v>
      </c>
      <c r="AJ21" s="3">
        <f>AI21*(1+$AB$10)</f>
        <v>135630.94345448009</v>
      </c>
      <c r="AK21" s="3">
        <f>AJ21*(1+$AB$10)</f>
        <v>136987.25288902488</v>
      </c>
      <c r="AL21" s="3">
        <f>AK21*(1+$AB$10)</f>
        <v>138357.12541791514</v>
      </c>
      <c r="AM21" s="3">
        <f>AL21*(1+$AB$10)</f>
        <v>139740.69667209429</v>
      </c>
      <c r="AN21" s="3">
        <f>AM21*(1+$AB$10)</f>
        <v>141138.10363881523</v>
      </c>
      <c r="AO21" s="3">
        <f>AN21*(1+$AB$10)</f>
        <v>142549.48467520339</v>
      </c>
      <c r="AP21" s="3">
        <f>AO21*(1+$AB$10)</f>
        <v>143974.97952195542</v>
      </c>
      <c r="AQ21" s="3">
        <f>AP21*(1+$AB$10)</f>
        <v>145414.72931717499</v>
      </c>
      <c r="AR21" s="3">
        <f>AQ21*(1+$AB$10)</f>
        <v>146868.87661034675</v>
      </c>
      <c r="AS21" s="3">
        <f>AR21*(1+$AB$10)</f>
        <v>148337.56537645022</v>
      </c>
      <c r="AT21" s="3">
        <f>AS21*(1+$AB$10)</f>
        <v>149820.94103021472</v>
      </c>
      <c r="AU21" s="3">
        <f>AT21*(1+$AB$10)</f>
        <v>151319.15044051685</v>
      </c>
      <c r="AV21" s="3">
        <f>AU21*(1+$AB$10)</f>
        <v>152832.34194492202</v>
      </c>
      <c r="AW21" s="3">
        <f>AV21*(1+$AB$10)</f>
        <v>154360.66536437123</v>
      </c>
      <c r="AX21" s="3">
        <f>AW21*(1+$AB$10)</f>
        <v>155904.27201801495</v>
      </c>
      <c r="AY21" s="3">
        <f>AX21*(1+$AB$10)</f>
        <v>157463.3147381951</v>
      </c>
      <c r="AZ21" s="3">
        <f>AY21*(1+$AB$10)</f>
        <v>159037.94788557704</v>
      </c>
      <c r="BA21" s="3">
        <f>AZ21*(1+$AB$10)</f>
        <v>160628.32736443283</v>
      </c>
      <c r="BB21" s="3">
        <f>BA21*(1+$AB$10)</f>
        <v>162234.61063807717</v>
      </c>
      <c r="BC21" s="3">
        <f>BB21*(1+$AB$10)</f>
        <v>163856.95674445794</v>
      </c>
      <c r="BD21" s="3">
        <f>BC21*(1+$AB$10)</f>
        <v>165495.52631190253</v>
      </c>
      <c r="BE21" s="3">
        <f>BD21*(1+$AB$10)</f>
        <v>167150.48157502155</v>
      </c>
      <c r="BF21" s="3">
        <f>BE21*(1+$AB$10)</f>
        <v>168821.98639077178</v>
      </c>
      <c r="BG21" s="3">
        <f>BF21*(1+$AB$10)</f>
        <v>170510.20625467951</v>
      </c>
      <c r="BH21" s="3">
        <f>BG21*(1+$AB$10)</f>
        <v>172215.3083172263</v>
      </c>
      <c r="BI21" s="3">
        <f>BH21*(1+$AB$10)</f>
        <v>173937.46140039858</v>
      </c>
      <c r="BJ21" s="3">
        <f>BI21*(1+$AB$10)</f>
        <v>175676.83601440256</v>
      </c>
      <c r="BK21" s="3">
        <f>BJ21*(1+$AB$10)</f>
        <v>177433.60437454659</v>
      </c>
      <c r="BL21" s="3">
        <f>BK21*(1+$AB$10)</f>
        <v>179207.94041829204</v>
      </c>
      <c r="BM21" s="3">
        <f>BL21*(1+$AB$10)</f>
        <v>181000.01982247498</v>
      </c>
      <c r="BN21" s="3">
        <f>BM21*(1+$AB$10)</f>
        <v>182810.02002069974</v>
      </c>
      <c r="BO21" s="3">
        <f>BN21*(1+$AB$10)</f>
        <v>184638.12022090674</v>
      </c>
      <c r="BP21" s="3">
        <f>BO21*(1+$AB$10)</f>
        <v>186484.50142311581</v>
      </c>
      <c r="BQ21" s="3">
        <f>BP21*(1+$AB$10)</f>
        <v>188349.34643734698</v>
      </c>
      <c r="BR21" s="3">
        <f>BQ21*(1+$AB$10)</f>
        <v>190232.83990172044</v>
      </c>
      <c r="BS21" s="3">
        <f>BR21*(1+$AB$10)</f>
        <v>192135.16830073766</v>
      </c>
      <c r="BT21" s="3">
        <f>BS21*(1+$AB$10)</f>
        <v>194056.51998374503</v>
      </c>
      <c r="BU21" s="3">
        <f>BT21*(1+$AB$10)</f>
        <v>195997.08518358247</v>
      </c>
      <c r="BV21" s="3">
        <f>BU21*(1+$AB$10)</f>
        <v>197957.0560354183</v>
      </c>
      <c r="BW21" s="3">
        <f>BV21*(1+$AB$10)</f>
        <v>199936.62659577248</v>
      </c>
      <c r="BX21" s="3">
        <f>BW21*(1+$AB$10)</f>
        <v>201935.99286173022</v>
      </c>
      <c r="BY21" s="3">
        <f>BX21*(1+$AB$10)</f>
        <v>203955.35279034753</v>
      </c>
      <c r="BZ21" s="3">
        <f>BY21*(1+$AB$10)</f>
        <v>205994.90631825101</v>
      </c>
      <c r="CA21" s="3">
        <f>BZ21*(1+$AB$10)</f>
        <v>208054.85538143353</v>
      </c>
      <c r="CB21" s="3">
        <f>CA21*(1+$AB$10)</f>
        <v>210135.40393524786</v>
      </c>
      <c r="CC21" s="3">
        <f>CB21*(1+$AB$10)</f>
        <v>212236.75797460033</v>
      </c>
      <c r="CD21" s="3">
        <f>CC21*(1+$AB$10)</f>
        <v>214359.12555434633</v>
      </c>
      <c r="CE21" s="3">
        <f>CD21*(1+$AB$10)</f>
        <v>216502.7168098898</v>
      </c>
      <c r="CF21" s="3">
        <f>CE21*(1+$AB$10)</f>
        <v>218667.74397798869</v>
      </c>
      <c r="CG21" s="3">
        <f>CF21*(1+$AB$10)</f>
        <v>220854.42141776858</v>
      </c>
      <c r="CH21" s="3">
        <f>CG21*(1+$AB$10)</f>
        <v>223062.96563194628</v>
      </c>
      <c r="CI21" s="3">
        <f>CH21*(1+$AB$10)</f>
        <v>225293.59528826576</v>
      </c>
      <c r="CJ21" s="3">
        <f>CI21*(1+$AB$10)</f>
        <v>227546.53124114842</v>
      </c>
      <c r="CK21" s="3">
        <f>CJ21*(1+$AB$10)</f>
        <v>229821.9965535599</v>
      </c>
      <c r="CL21" s="3">
        <f>CK21*(1+$AB$10)</f>
        <v>232120.2165190955</v>
      </c>
      <c r="CM21" s="3">
        <f>CL21*(1+$AB$10)</f>
        <v>234441.41868428644</v>
      </c>
      <c r="CN21" s="3">
        <f>CM21*(1+$AB$10)</f>
        <v>236785.8328711293</v>
      </c>
      <c r="CO21" s="3">
        <f>CN21*(1+$AB$10)</f>
        <v>239153.6911998406</v>
      </c>
      <c r="CP21" s="3">
        <f>CO21*(1+$AB$10)</f>
        <v>241545.22811183901</v>
      </c>
      <c r="CQ21" s="3">
        <f>CP21*(1+$AB$10)</f>
        <v>243960.68039295741</v>
      </c>
      <c r="CR21" s="3">
        <f>CQ21*(1+$AB$10)</f>
        <v>246400.28719688699</v>
      </c>
      <c r="CS21" s="3">
        <f>CR21*(1+$AB$10)</f>
        <v>248864.29006885586</v>
      </c>
      <c r="CT21" s="3">
        <f>CS21*(1+$AB$10)</f>
        <v>251352.93296954443</v>
      </c>
      <c r="CU21" s="3">
        <f>CT21*(1+$AB$10)</f>
        <v>253866.46229923988</v>
      </c>
      <c r="CV21" s="3">
        <f>CU21*(1+$AB$10)</f>
        <v>256405.12692223227</v>
      </c>
      <c r="CW21" s="3">
        <f>CV21*(1+$AB$10)</f>
        <v>258969.17819145459</v>
      </c>
      <c r="CX21" s="3">
        <f>CW21*(1+$AB$10)</f>
        <v>261558.86997336915</v>
      </c>
      <c r="CY21" s="3">
        <f>CX21*(1+$AB$10)</f>
        <v>264174.45867310284</v>
      </c>
      <c r="CZ21" s="3">
        <f>CY21*(1+$AB$10)</f>
        <v>266816.20325983386</v>
      </c>
      <c r="DA21" s="3">
        <f>CZ21*(1+$AB$10)</f>
        <v>269484.36529243219</v>
      </c>
      <c r="DB21" s="3">
        <f>DA21*(1+$AB$10)</f>
        <v>272179.20894535654</v>
      </c>
      <c r="DC21" s="3">
        <f>DB21*(1+$AB$10)</f>
        <v>274901.00103481009</v>
      </c>
      <c r="DD21" s="3">
        <f>DC21*(1+$AB$10)</f>
        <v>277650.0110451582</v>
      </c>
      <c r="DE21" s="3">
        <f>DD21*(1+$AB$10)</f>
        <v>280426.5111556098</v>
      </c>
      <c r="DF21" s="3">
        <f>DE21*(1+$AB$10)</f>
        <v>283230.7762671659</v>
      </c>
      <c r="DG21" s="3">
        <f>DF21*(1+$AB$10)</f>
        <v>286063.08402983757</v>
      </c>
      <c r="DH21" s="3">
        <f>DG21*(1+$AB$10)</f>
        <v>288923.71487013594</v>
      </c>
      <c r="DI21" s="3">
        <f>DH21*(1+$AB$10)</f>
        <v>291812.95201883733</v>
      </c>
      <c r="DJ21" s="3">
        <f>DI21*(1+$AB$10)</f>
        <v>294731.0815390257</v>
      </c>
      <c r="DK21" s="3">
        <f>DJ21*(1+$AB$10)</f>
        <v>297678.39235441596</v>
      </c>
      <c r="DL21" s="3">
        <f>DK21*(1+$AB$10)</f>
        <v>300655.17627796013</v>
      </c>
      <c r="DM21" s="3">
        <f>DL21*(1+$AB$10)</f>
        <v>303661.72804073972</v>
      </c>
      <c r="DN21" s="3">
        <f>DM21*(1+$AB$10)</f>
        <v>306698.34532114712</v>
      </c>
      <c r="DO21" s="3">
        <f>DN21*(1+$AB$10)</f>
        <v>309765.32877435861</v>
      </c>
      <c r="DP21" s="3">
        <f>DO21*(1+$AB$10)</f>
        <v>312862.98206210218</v>
      </c>
      <c r="DQ21" s="3">
        <f>DP21*(1+$AB$10)</f>
        <v>315991.61188272323</v>
      </c>
      <c r="DR21" s="3">
        <f>DQ21*(1+$AB$10)</f>
        <v>319151.52800155047</v>
      </c>
      <c r="DS21" s="3">
        <f>DR21*(1+$AB$10)</f>
        <v>322343.043281566</v>
      </c>
      <c r="DT21" s="3">
        <f>DS21*(1+$AB$10)</f>
        <v>325566.47371438169</v>
      </c>
      <c r="DU21" s="3">
        <f>DT21*(1+$AB$10)</f>
        <v>328822.13845152553</v>
      </c>
      <c r="DV21" s="3">
        <f>DU21*(1+$AB$10)</f>
        <v>332110.35983604076</v>
      </c>
      <c r="DW21" s="3">
        <f>DV21*(1+$AB$10)</f>
        <v>335431.4634344012</v>
      </c>
      <c r="DX21" s="3">
        <f>DW21*(1+$AB$10)</f>
        <v>338785.77806874522</v>
      </c>
      <c r="DY21" s="3">
        <f>DX21*(1+$AB$10)</f>
        <v>342173.63584943267</v>
      </c>
      <c r="DZ21" s="3">
        <f>DY21*(1+$AB$10)</f>
        <v>345595.37220792699</v>
      </c>
      <c r="EA21" s="3">
        <f>DZ21*(1+$AB$10)</f>
        <v>349051.32593000628</v>
      </c>
      <c r="EB21" s="3">
        <f>EA21*(1+$AB$10)</f>
        <v>352541.83918930637</v>
      </c>
      <c r="EC21" s="3">
        <f>EB21*(1+$AB$10)</f>
        <v>356067.25758119946</v>
      </c>
      <c r="ED21" s="3">
        <f>EC21*(1+$AB$10)</f>
        <v>359627.93015701143</v>
      </c>
      <c r="EE21" s="3">
        <f>ED21*(1+$AB$10)</f>
        <v>363224.20945858158</v>
      </c>
      <c r="EF21" s="3">
        <f>EE21*(1+$AB$10)</f>
        <v>366856.45155316743</v>
      </c>
      <c r="EG21" s="3">
        <f>EF21*(1+$AB$10)</f>
        <v>370525.01606869913</v>
      </c>
      <c r="EH21" s="3">
        <f>EG21*(1+$AB$10)</f>
        <v>374230.26622938615</v>
      </c>
      <c r="EI21" s="3">
        <f>EH21*(1+$AB$10)</f>
        <v>377972.56889168004</v>
      </c>
      <c r="EJ21" s="3">
        <f>EI21*(1+$AB$10)</f>
        <v>381752.29458059685</v>
      </c>
      <c r="EK21" s="3">
        <f>EJ21*(1+$AB$10)</f>
        <v>385569.81752640283</v>
      </c>
      <c r="EL21" s="3">
        <f>EK21*(1+$AB$10)</f>
        <v>389425.51570166688</v>
      </c>
      <c r="EM21" s="3">
        <f>EL21*(1+$AB$10)</f>
        <v>393319.77085868357</v>
      </c>
      <c r="EN21" s="3">
        <f>EM21*(1+$AB$10)</f>
        <v>397252.96856727038</v>
      </c>
      <c r="EO21" s="3">
        <f>EN21*(1+$AB$10)</f>
        <v>401225.4982529431</v>
      </c>
      <c r="EP21" s="3">
        <f>EO21*(1+$AB$10)</f>
        <v>405237.75323547254</v>
      </c>
      <c r="EQ21" s="3">
        <f>EP21*(1+$AB$10)</f>
        <v>409290.13076782727</v>
      </c>
      <c r="ER21" s="3">
        <f>EQ21*(1+$AB$10)</f>
        <v>413383.03207550553</v>
      </c>
      <c r="ES21" s="3">
        <f>ER21*(1+$AB$10)</f>
        <v>417516.86239626061</v>
      </c>
      <c r="ET21" s="3">
        <f>ES21*(1+$AB$10)</f>
        <v>421692.03102022322</v>
      </c>
      <c r="EU21" s="3">
        <f>ET21*(1+$AB$10)</f>
        <v>425908.95133042545</v>
      </c>
      <c r="EV21" s="3">
        <f>EU21*(1+$AB$10)</f>
        <v>430168.04084372969</v>
      </c>
      <c r="EW21" s="3">
        <f>EV21*(1+$AB$10)</f>
        <v>434469.72125216702</v>
      </c>
      <c r="EX21" s="3">
        <f>EW21*(1+$AB$10)</f>
        <v>438814.4184646887</v>
      </c>
      <c r="EY21" s="3">
        <f>EX21*(1+$AB$10)</f>
        <v>443202.5626493356</v>
      </c>
      <c r="EZ21" s="3">
        <f>EY21*(1+$AB$10)</f>
        <v>447634.58827582898</v>
      </c>
      <c r="FA21" s="3">
        <f>EZ21*(1+$AB$10)</f>
        <v>452110.93415858725</v>
      </c>
      <c r="FB21" s="3">
        <f>FA21*(1+$AB$10)</f>
        <v>456632.04350017314</v>
      </c>
      <c r="FC21" s="3">
        <f>FB21*(1+$AB$10)</f>
        <v>461198.36393517489</v>
      </c>
      <c r="FD21" s="3">
        <f>FC21*(1+$AB$10)</f>
        <v>465810.34757452662</v>
      </c>
      <c r="FE21" s="3">
        <f>FD21*(1+$AB$10)</f>
        <v>470468.45105027186</v>
      </c>
      <c r="FF21" s="3">
        <f>FE21*(1+$AB$10)</f>
        <v>475173.13556077459</v>
      </c>
      <c r="FG21" s="3">
        <f>FF21*(1+$AB$10)</f>
        <v>479924.86691638234</v>
      </c>
      <c r="FH21" s="3">
        <f>FG21*(1+$AB$10)</f>
        <v>484724.11558554618</v>
      </c>
      <c r="FI21" s="3">
        <f>FH21*(1+$AB$10)</f>
        <v>489571.35674140166</v>
      </c>
      <c r="FJ21" s="3">
        <f>FI21*(1+$AB$10)</f>
        <v>494467.07030881569</v>
      </c>
      <c r="FK21" s="3">
        <f>FJ21*(1+$AB$10)</f>
        <v>499411.74101190385</v>
      </c>
      <c r="FL21" s="3">
        <f>FK21*(1+$AB$10)</f>
        <v>504405.85842202289</v>
      </c>
      <c r="FM21" s="3">
        <f>FL21*(1+$AB$10)</f>
        <v>509449.91700624314</v>
      </c>
      <c r="FN21" s="3">
        <f>FM21*(1+$AB$10)</f>
        <v>514544.41617630556</v>
      </c>
      <c r="FO21" s="3">
        <f>FN21*(1+$AB$10)</f>
        <v>519689.86033806863</v>
      </c>
      <c r="FP21" s="3">
        <f>FO21*(1+$AB$10)</f>
        <v>524886.75894144934</v>
      </c>
    </row>
    <row r="22" spans="1:172" x14ac:dyDescent="0.2">
      <c r="B22" s="1" t="s">
        <v>36</v>
      </c>
      <c r="C22" s="4">
        <f>C21/C23</f>
        <v>0.30194601381042058</v>
      </c>
      <c r="D22" s="4" t="e">
        <f t="shared" ref="D22:J22" si="75">D21/D23</f>
        <v>#DIV/0!</v>
      </c>
      <c r="E22" s="4" t="e">
        <f t="shared" si="75"/>
        <v>#DIV/0!</v>
      </c>
      <c r="F22" s="4" t="e">
        <f t="shared" si="75"/>
        <v>#DIV/0!</v>
      </c>
      <c r="G22" s="4">
        <f t="shared" si="75"/>
        <v>0.19670602858918582</v>
      </c>
      <c r="H22" s="4" t="e">
        <f t="shared" si="75"/>
        <v>#DIV/0!</v>
      </c>
      <c r="I22" s="4" t="e">
        <f t="shared" si="75"/>
        <v>#DIV/0!</v>
      </c>
      <c r="J22" s="4" t="e">
        <f t="shared" si="75"/>
        <v>#DIV/0!</v>
      </c>
      <c r="L22" s="4">
        <f>L21/Main!$K$3</f>
        <v>1.817162358007995</v>
      </c>
      <c r="M22" s="4">
        <f>M21/Main!$K$3</f>
        <v>3.9755277625649028</v>
      </c>
      <c r="N22" s="4">
        <f>N21/Main!$K$3</f>
        <v>4.5955300227634277</v>
      </c>
      <c r="O22" s="4">
        <f>O21/Main!$K$3</f>
        <v>2.2173541023224161</v>
      </c>
      <c r="P22" s="4">
        <f>P21/Main!$K$3</f>
        <v>4.9624196694535732</v>
      </c>
      <c r="Q22" s="4">
        <f>Q21/Main!$K$3</f>
        <v>7.4526255548850973</v>
      </c>
      <c r="R22" s="4">
        <f>R21/Main!$K$3</f>
        <v>10.411406750500184</v>
      </c>
      <c r="S22" s="4">
        <f>S21/Main!$K$3</f>
        <v>13.432827836710347</v>
      </c>
      <c r="T22" s="4">
        <f>T21/Main!$K$3</f>
        <v>16.743673817994512</v>
      </c>
      <c r="U22" s="4">
        <f>U21/Main!$K$3</f>
        <v>20.893343449554951</v>
      </c>
      <c r="V22" s="4">
        <f>V21/Main!$K$3</f>
        <v>23.859765385200575</v>
      </c>
      <c r="W22" s="4">
        <f>W21/Main!$K$3</f>
        <v>27.498729450346758</v>
      </c>
      <c r="X22" s="4">
        <f>X21/Main!$K$3</f>
        <v>32.027368665268767</v>
      </c>
      <c r="Y22" s="4">
        <f>Y21/Main!$K$3</f>
        <v>37.743213954976973</v>
      </c>
    </row>
    <row r="23" spans="1:172" x14ac:dyDescent="0.2">
      <c r="B23" s="1" t="s">
        <v>1</v>
      </c>
      <c r="C23" s="1">
        <v>3186</v>
      </c>
      <c r="G23" s="1">
        <v>3218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172" x14ac:dyDescent="0.2">
      <c r="L24" s="5"/>
      <c r="M24" s="5"/>
      <c r="N24" s="5"/>
      <c r="O24" s="5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172" x14ac:dyDescent="0.2">
      <c r="B25" s="1" t="s">
        <v>28</v>
      </c>
      <c r="C25" s="5">
        <f>C5/C9-1</f>
        <v>0.22674008188620642</v>
      </c>
      <c r="D25" s="5" t="e">
        <f t="shared" ref="D25:J25" si="76">D5/D9-1</f>
        <v>#DIV/0!</v>
      </c>
      <c r="E25" s="5" t="e">
        <f t="shared" si="76"/>
        <v>#DIV/0!</v>
      </c>
      <c r="F25" s="5" t="e">
        <f t="shared" si="76"/>
        <v>#DIV/0!</v>
      </c>
      <c r="G25" s="5">
        <f t="shared" si="76"/>
        <v>0.19376068376068378</v>
      </c>
      <c r="H25" s="5" t="e">
        <f t="shared" si="76"/>
        <v>#DIV/0!</v>
      </c>
      <c r="I25" s="5" t="e">
        <f t="shared" si="76"/>
        <v>#DIV/0!</v>
      </c>
      <c r="J25" s="5" t="e">
        <f t="shared" si="76"/>
        <v>#DIV/0!</v>
      </c>
      <c r="L25" s="5">
        <f t="shared" ref="L25:O27" si="77">L5/L9-1</f>
        <v>0.41442817356931094</v>
      </c>
      <c r="M25" s="5">
        <f t="shared" si="77"/>
        <v>0.39825467637160528</v>
      </c>
      <c r="N25" s="5">
        <f t="shared" si="77"/>
        <v>0.24145566283571074</v>
      </c>
      <c r="O25" s="5">
        <f t="shared" si="77"/>
        <v>0.22580439934471075</v>
      </c>
      <c r="P25" s="5">
        <f>O25*1.1</f>
        <v>0.24838483927918184</v>
      </c>
      <c r="Q25" s="5">
        <f t="shared" ref="Q25:U25" si="78">P25*1.1</f>
        <v>0.27322332320710002</v>
      </c>
      <c r="R25" s="5">
        <f t="shared" si="78"/>
        <v>0.30054565552781004</v>
      </c>
      <c r="S25" s="5">
        <f t="shared" si="78"/>
        <v>0.33060022108059106</v>
      </c>
      <c r="T25" s="5">
        <f t="shared" si="78"/>
        <v>0.3636602431886502</v>
      </c>
      <c r="U25" s="5">
        <f t="shared" si="78"/>
        <v>0.40002626750751524</v>
      </c>
      <c r="V25" s="5">
        <f>U25*1.01</f>
        <v>0.40402653018259038</v>
      </c>
      <c r="W25" s="5">
        <f t="shared" ref="W25:Y25" si="79">V25*1.01</f>
        <v>0.40806679548441627</v>
      </c>
      <c r="X25" s="5">
        <f t="shared" si="79"/>
        <v>0.41214746343926045</v>
      </c>
      <c r="Y25" s="5">
        <f t="shared" si="79"/>
        <v>0.41626893807365306</v>
      </c>
    </row>
    <row r="26" spans="1:172" x14ac:dyDescent="0.2">
      <c r="B26" s="1" t="s">
        <v>27</v>
      </c>
      <c r="C26" s="5">
        <f>C6/C10-1</f>
        <v>0.32711038961038952</v>
      </c>
      <c r="D26" s="5" t="e">
        <f t="shared" ref="D26:J26" si="80">D6/D10-1</f>
        <v>#DIV/0!</v>
      </c>
      <c r="E26" s="5" t="e">
        <f t="shared" si="80"/>
        <v>#DIV/0!</v>
      </c>
      <c r="F26" s="5" t="e">
        <f t="shared" si="80"/>
        <v>#DIV/0!</v>
      </c>
      <c r="G26" s="5">
        <f t="shared" si="80"/>
        <v>0.40359897172236514</v>
      </c>
      <c r="H26" s="5" t="e">
        <f t="shared" si="80"/>
        <v>#DIV/0!</v>
      </c>
      <c r="I26" s="5" t="e">
        <f t="shared" si="80"/>
        <v>#DIV/0!</v>
      </c>
      <c r="J26" s="5" t="e">
        <f t="shared" si="80"/>
        <v>#DIV/0!</v>
      </c>
      <c r="L26" s="5">
        <f t="shared" si="77"/>
        <v>-4.4208361891706627E-2</v>
      </c>
      <c r="M26" s="5">
        <f t="shared" si="77"/>
        <v>7.9536039768019817E-2</v>
      </c>
      <c r="N26" s="5">
        <f t="shared" si="77"/>
        <v>0.2331426236207601</v>
      </c>
      <c r="O26" s="5">
        <f t="shared" si="77"/>
        <v>0.35455278001611612</v>
      </c>
      <c r="P26" s="5">
        <f>O26*1.02</f>
        <v>0.36164383561643842</v>
      </c>
      <c r="Q26" s="5">
        <f t="shared" ref="Q26:U26" si="81">P26*1.02</f>
        <v>0.36887671232876718</v>
      </c>
      <c r="R26" s="5">
        <f t="shared" si="81"/>
        <v>0.37625424657534251</v>
      </c>
      <c r="S26" s="5">
        <f t="shared" si="81"/>
        <v>0.38377933150684934</v>
      </c>
      <c r="T26" s="5">
        <f t="shared" si="81"/>
        <v>0.39145491813698635</v>
      </c>
      <c r="U26" s="5">
        <f t="shared" si="81"/>
        <v>0.39928401649972611</v>
      </c>
      <c r="V26" s="5">
        <f>U26*1.01</f>
        <v>0.4032768566647234</v>
      </c>
      <c r="W26" s="5">
        <f t="shared" ref="W26:Y26" si="82">V26*1.01</f>
        <v>0.40730962523137065</v>
      </c>
      <c r="X26" s="5">
        <f t="shared" si="82"/>
        <v>0.41138272148368438</v>
      </c>
      <c r="Y26" s="5">
        <f t="shared" si="82"/>
        <v>0.41549654869852121</v>
      </c>
    </row>
    <row r="27" spans="1:172" x14ac:dyDescent="0.2">
      <c r="B27" s="1" t="s">
        <v>26</v>
      </c>
      <c r="C27" s="5">
        <f>C7/C11-1</f>
        <v>3.6701404621658273E-2</v>
      </c>
      <c r="D27" s="5" t="e">
        <f t="shared" ref="D27:J27" si="83">D7/D11-1</f>
        <v>#DIV/0!</v>
      </c>
      <c r="E27" s="5" t="e">
        <f t="shared" si="83"/>
        <v>#DIV/0!</v>
      </c>
      <c r="F27" s="5" t="e">
        <f t="shared" si="83"/>
        <v>#DIV/0!</v>
      </c>
      <c r="G27" s="5">
        <f t="shared" si="83"/>
        <v>3.9810800157666471E-2</v>
      </c>
      <c r="H27" s="5" t="e">
        <f t="shared" si="83"/>
        <v>#DIV/0!</v>
      </c>
      <c r="I27" s="5" t="e">
        <f t="shared" si="83"/>
        <v>#DIV/0!</v>
      </c>
      <c r="J27" s="5" t="e">
        <f t="shared" si="83"/>
        <v>#DIV/0!</v>
      </c>
      <c r="L27" s="5">
        <f t="shared" si="77"/>
        <v>-2.6625704045058929E-2</v>
      </c>
      <c r="M27" s="5">
        <f t="shared" si="77"/>
        <v>3.5884353741496566E-2</v>
      </c>
      <c r="N27" s="5">
        <f t="shared" si="77"/>
        <v>6.2452107279693525E-2</v>
      </c>
      <c r="O27" s="5">
        <f t="shared" si="77"/>
        <v>6.178812619695595E-2</v>
      </c>
      <c r="P27" s="5">
        <v>0.06</v>
      </c>
      <c r="Q27" s="5">
        <v>0.06</v>
      </c>
      <c r="R27" s="5">
        <v>0.06</v>
      </c>
      <c r="S27" s="5">
        <v>0.06</v>
      </c>
      <c r="T27" s="5">
        <v>0.06</v>
      </c>
      <c r="U27" s="5">
        <v>0.06</v>
      </c>
      <c r="V27" s="5">
        <v>0.06</v>
      </c>
      <c r="W27" s="5">
        <v>0.06</v>
      </c>
      <c r="X27" s="5">
        <v>0.06</v>
      </c>
      <c r="Y27" s="5">
        <v>0.06</v>
      </c>
      <c r="AE27" s="5"/>
    </row>
    <row r="29" spans="1:172" s="3" customFormat="1" x14ac:dyDescent="0.2">
      <c r="A29" s="1"/>
      <c r="B29" s="3" t="s">
        <v>29</v>
      </c>
      <c r="C29" s="6">
        <f>C8/C12-1</f>
        <v>0.20994035785288268</v>
      </c>
      <c r="D29" s="6" t="e">
        <f t="shared" ref="D29:J29" si="84">D8/D12-1</f>
        <v>#DIV/0!</v>
      </c>
      <c r="E29" s="6" t="e">
        <f t="shared" si="84"/>
        <v>#DIV/0!</v>
      </c>
      <c r="F29" s="6" t="e">
        <f t="shared" si="84"/>
        <v>#DIV/0!</v>
      </c>
      <c r="G29" s="6">
        <f t="shared" si="84"/>
        <v>0.19484612532443446</v>
      </c>
      <c r="H29" s="6" t="e">
        <f t="shared" si="84"/>
        <v>#DIV/0!</v>
      </c>
      <c r="I29" s="6" t="e">
        <f t="shared" si="84"/>
        <v>#DIV/0!</v>
      </c>
      <c r="J29" s="6" t="e">
        <f t="shared" si="84"/>
        <v>#DIV/0!</v>
      </c>
      <c r="L29" s="6">
        <f t="shared" ref="L29:U29" si="85">L8/L12-1</f>
        <v>0.33831464306139192</v>
      </c>
      <c r="M29" s="6">
        <f t="shared" si="85"/>
        <v>0.34405781319605988</v>
      </c>
      <c r="N29" s="6">
        <f t="shared" si="85"/>
        <v>0.22322500726808481</v>
      </c>
      <c r="O29" s="6">
        <f t="shared" si="85"/>
        <v>0.21747258225324018</v>
      </c>
      <c r="P29" s="6">
        <f t="shared" si="85"/>
        <v>0.31918010971789967</v>
      </c>
      <c r="Q29" s="6">
        <f t="shared" si="85"/>
        <v>0.35486539024936725</v>
      </c>
      <c r="R29" s="6">
        <f t="shared" si="85"/>
        <v>0.39487694951741426</v>
      </c>
      <c r="S29" s="6">
        <f t="shared" si="85"/>
        <v>0.4373191260291176</v>
      </c>
      <c r="T29" s="6">
        <f t="shared" si="85"/>
        <v>0.48168389575783799</v>
      </c>
      <c r="U29" s="6">
        <f t="shared" si="85"/>
        <v>0.52909511557822886</v>
      </c>
      <c r="V29" s="6">
        <f t="shared" ref="V29:Y29" si="86">V8/V12-1</f>
        <v>0.52031176510513344</v>
      </c>
      <c r="W29" s="6">
        <f t="shared" si="86"/>
        <v>0.51109586129038753</v>
      </c>
      <c r="X29" s="6">
        <f t="shared" si="86"/>
        <v>0.50193877164639389</v>
      </c>
      <c r="Y29" s="6">
        <f t="shared" si="86"/>
        <v>0.49335362691921825</v>
      </c>
    </row>
    <row r="30" spans="1:172" x14ac:dyDescent="0.2">
      <c r="B30" s="1" t="s">
        <v>64</v>
      </c>
      <c r="C30" s="5">
        <f>C17/C8</f>
        <v>5.4973944885216654E-2</v>
      </c>
      <c r="D30" s="5" t="e">
        <f t="shared" ref="D30:J30" si="87">D17/D8</f>
        <v>#DIV/0!</v>
      </c>
      <c r="E30" s="5" t="e">
        <f t="shared" si="87"/>
        <v>#DIV/0!</v>
      </c>
      <c r="F30" s="5">
        <f t="shared" si="87"/>
        <v>1</v>
      </c>
      <c r="G30" s="5">
        <f t="shared" si="87"/>
        <v>2.5497801913628135E-2</v>
      </c>
      <c r="H30" s="5">
        <f t="shared" si="87"/>
        <v>1</v>
      </c>
      <c r="I30" s="5" t="e">
        <f t="shared" si="87"/>
        <v>#DIV/0!</v>
      </c>
      <c r="J30" s="5" t="e">
        <f t="shared" si="87"/>
        <v>#DIV/0!</v>
      </c>
      <c r="L30" s="5">
        <f t="shared" ref="L30:U30" si="88">L17/L8</f>
        <v>0.12069189751593185</v>
      </c>
      <c r="M30" s="5">
        <f t="shared" si="88"/>
        <v>0.16979696054602145</v>
      </c>
      <c r="N30" s="5">
        <f t="shared" si="88"/>
        <v>9.1874799789197395E-2</v>
      </c>
      <c r="O30" s="5">
        <f t="shared" si="88"/>
        <v>7.9434947282219268E-2</v>
      </c>
      <c r="P30" s="5">
        <f t="shared" si="88"/>
        <v>0.14276207821500547</v>
      </c>
      <c r="Q30" s="5">
        <f t="shared" si="88"/>
        <v>0.1627279773027378</v>
      </c>
      <c r="R30" s="5">
        <f t="shared" si="88"/>
        <v>0.18389956509877736</v>
      </c>
      <c r="S30" s="5">
        <f t="shared" si="88"/>
        <v>0.20506896489909754</v>
      </c>
      <c r="T30" s="5">
        <f t="shared" si="88"/>
        <v>0.22590089292572976</v>
      </c>
      <c r="U30" s="5">
        <f t="shared" si="88"/>
        <v>0.24682712645439162</v>
      </c>
      <c r="V30" s="5">
        <f t="shared" ref="V30:Y30" si="89">V17/V8</f>
        <v>0.24304885588901143</v>
      </c>
      <c r="W30" s="5">
        <f t="shared" si="89"/>
        <v>0.23903729617775188</v>
      </c>
      <c r="X30" s="5">
        <f t="shared" si="89"/>
        <v>0.23500257784924836</v>
      </c>
      <c r="Y30" s="5">
        <f t="shared" si="89"/>
        <v>0.23117492333485351</v>
      </c>
    </row>
    <row r="31" spans="1:172" x14ac:dyDescent="0.2"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172" x14ac:dyDescent="0.2">
      <c r="B32" s="3" t="s">
        <v>97</v>
      </c>
      <c r="C32" s="3"/>
      <c r="D32" s="3"/>
      <c r="E32" s="3"/>
      <c r="F32" s="3"/>
      <c r="G32" s="6">
        <f>G8/C8-1</f>
        <v>-9.2296136331627587E-2</v>
      </c>
      <c r="H32" s="6" t="e">
        <f>H8/D8-1</f>
        <v>#DIV/0!</v>
      </c>
      <c r="I32" s="6" t="e">
        <f>I8/E8-1</f>
        <v>#DIV/0!</v>
      </c>
      <c r="J32" s="6">
        <f>J8/F8-1</f>
        <v>-1</v>
      </c>
      <c r="K32" s="3"/>
      <c r="L32" s="3"/>
      <c r="M32" s="6">
        <f t="shared" ref="M32:Y32" si="90">M8/L8-1</f>
        <v>0.51351652639206291</v>
      </c>
      <c r="N32" s="6">
        <f t="shared" si="90"/>
        <v>0.18795266504627928</v>
      </c>
      <c r="O32" s="6">
        <f t="shared" si="90"/>
        <v>9.4757835346634955E-3</v>
      </c>
      <c r="P32" s="6">
        <f t="shared" si="90"/>
        <v>0.37880233391339968</v>
      </c>
      <c r="Q32" s="6">
        <f t="shared" si="90"/>
        <v>0.31449390921131548</v>
      </c>
      <c r="R32" s="6">
        <f t="shared" si="90"/>
        <v>0.2314739052645598</v>
      </c>
      <c r="S32" s="6">
        <f t="shared" si="90"/>
        <v>0.15047411162352375</v>
      </c>
      <c r="T32" s="6">
        <f t="shared" si="90"/>
        <v>0.12484391943753348</v>
      </c>
      <c r="U32" s="6">
        <f t="shared" si="90"/>
        <v>0.136659508309384</v>
      </c>
      <c r="V32" s="6">
        <f t="shared" si="90"/>
        <v>0.14960180079294116</v>
      </c>
      <c r="W32" s="6">
        <f t="shared" si="90"/>
        <v>0.16352602907297764</v>
      </c>
      <c r="X32" s="6">
        <f t="shared" si="90"/>
        <v>0.17822024981754048</v>
      </c>
      <c r="Y32" s="6">
        <f t="shared" si="90"/>
        <v>0.19341612040583556</v>
      </c>
    </row>
    <row r="33" spans="1:171" s="14" customFormat="1" x14ac:dyDescent="0.2">
      <c r="A33" s="1"/>
      <c r="B33" s="14" t="s">
        <v>98</v>
      </c>
      <c r="D33" s="15">
        <f t="shared" ref="D33:J33" si="91">D8/C8-1</f>
        <v>-1</v>
      </c>
      <c r="E33" s="15" t="e">
        <f t="shared" si="91"/>
        <v>#DIV/0!</v>
      </c>
      <c r="F33" s="15" t="e">
        <f t="shared" si="91"/>
        <v>#DIV/0!</v>
      </c>
      <c r="G33" s="15">
        <f t="shared" si="91"/>
        <v>-2.3386200626325904E-2</v>
      </c>
      <c r="H33" s="15">
        <f t="shared" si="91"/>
        <v>3.4393586759762007E-2</v>
      </c>
      <c r="I33" s="15">
        <f t="shared" si="91"/>
        <v>-1</v>
      </c>
      <c r="J33" s="15" t="e">
        <f t="shared" si="91"/>
        <v>#DIV/0!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5" spans="1:171" x14ac:dyDescent="0.2">
      <c r="B35" s="1" t="s">
        <v>99</v>
      </c>
      <c r="G35" s="5">
        <f t="shared" ref="G35:J37" si="92">G5/C5-1</f>
        <v>-0.19628265623201746</v>
      </c>
      <c r="H35" s="5" t="e">
        <f t="shared" si="92"/>
        <v>#DIV/0!</v>
      </c>
      <c r="I35" s="5" t="e">
        <f t="shared" si="92"/>
        <v>#DIV/0!</v>
      </c>
      <c r="J35" s="5">
        <f t="shared" si="92"/>
        <v>-1</v>
      </c>
      <c r="M35" s="5">
        <f t="shared" ref="M35:Y35" si="93">M5/L5-1</f>
        <v>0.51299966124661256</v>
      </c>
      <c r="N35" s="5">
        <f t="shared" si="93"/>
        <v>0.15332624331812705</v>
      </c>
      <c r="O35" s="5">
        <f t="shared" si="93"/>
        <v>-6.4900083718560042E-2</v>
      </c>
      <c r="P35" s="5">
        <f t="shared" si="93"/>
        <v>0.37371220967951224</v>
      </c>
      <c r="Q35" s="5">
        <f t="shared" si="93"/>
        <v>0.32701375245579567</v>
      </c>
      <c r="R35" s="5">
        <f t="shared" si="93"/>
        <v>0.22165223184543636</v>
      </c>
      <c r="S35" s="5">
        <f t="shared" si="93"/>
        <v>0.11817818254530921</v>
      </c>
      <c r="T35" s="5">
        <f t="shared" si="93"/>
        <v>8.0077415662934692E-2</v>
      </c>
      <c r="U35" s="5">
        <f t="shared" si="93"/>
        <v>8.8007525230730854E-2</v>
      </c>
      <c r="V35" s="5">
        <f t="shared" si="93"/>
        <v>9.7916690962902786E-2</v>
      </c>
      <c r="W35" s="5">
        <f t="shared" si="93"/>
        <v>0.11010900810079249</v>
      </c>
      <c r="X35" s="5">
        <f t="shared" si="93"/>
        <v>0.12482315778716635</v>
      </c>
      <c r="Y35" s="5">
        <f t="shared" si="93"/>
        <v>0.14216702468725506</v>
      </c>
    </row>
    <row r="36" spans="1:171" x14ac:dyDescent="0.2">
      <c r="B36" s="1" t="s">
        <v>100</v>
      </c>
      <c r="G36" s="5">
        <f t="shared" si="92"/>
        <v>0.66972477064220182</v>
      </c>
      <c r="H36" s="5" t="e">
        <f t="shared" si="92"/>
        <v>#DIV/0!</v>
      </c>
      <c r="I36" s="5" t="e">
        <f t="shared" si="92"/>
        <v>#DIV/0!</v>
      </c>
      <c r="J36" s="5" t="e">
        <f t="shared" si="92"/>
        <v>#DIV/0!</v>
      </c>
      <c r="M36" s="5">
        <f t="shared" ref="M36:Y36" si="94">M6/L6-1</f>
        <v>0.40157762638938688</v>
      </c>
      <c r="N36" s="5">
        <f t="shared" si="94"/>
        <v>0.54387311332821686</v>
      </c>
      <c r="O36" s="5">
        <f t="shared" si="94"/>
        <v>0.67125103562551791</v>
      </c>
      <c r="P36" s="5">
        <f t="shared" si="94"/>
        <v>0.5</v>
      </c>
      <c r="Q36" s="5">
        <f t="shared" si="94"/>
        <v>0.24</v>
      </c>
      <c r="R36" s="5">
        <f t="shared" si="94"/>
        <v>0.24</v>
      </c>
      <c r="S36" s="5">
        <f t="shared" si="94"/>
        <v>0.24</v>
      </c>
      <c r="T36" s="5">
        <f t="shared" si="94"/>
        <v>0.24</v>
      </c>
      <c r="U36" s="5">
        <f t="shared" si="94"/>
        <v>0.24</v>
      </c>
      <c r="V36" s="5">
        <f t="shared" si="94"/>
        <v>0.24</v>
      </c>
      <c r="W36" s="5">
        <f t="shared" si="94"/>
        <v>0.24000000000000021</v>
      </c>
      <c r="X36" s="5">
        <f t="shared" si="94"/>
        <v>0.24</v>
      </c>
      <c r="Y36" s="5">
        <f t="shared" si="94"/>
        <v>0.24</v>
      </c>
      <c r="AC36" s="5"/>
    </row>
    <row r="37" spans="1:171" x14ac:dyDescent="0.2">
      <c r="B37" s="1" t="s">
        <v>101</v>
      </c>
      <c r="G37" s="5">
        <f t="shared" si="92"/>
        <v>0.15297202797202791</v>
      </c>
      <c r="H37" s="5" t="e">
        <f t="shared" si="92"/>
        <v>#DIV/0!</v>
      </c>
      <c r="I37" s="5" t="e">
        <f t="shared" si="92"/>
        <v>#DIV/0!</v>
      </c>
      <c r="J37" s="5" t="e">
        <f t="shared" si="92"/>
        <v>#DIV/0!</v>
      </c>
      <c r="M37" s="5">
        <f t="shared" ref="M37:Y37" si="95">M7/L7-1</f>
        <v>0.60205155181483438</v>
      </c>
      <c r="N37" s="5">
        <f t="shared" si="95"/>
        <v>0.36578558528977179</v>
      </c>
      <c r="O37" s="5">
        <f t="shared" si="95"/>
        <v>0.26625796369755972</v>
      </c>
      <c r="P37" s="5">
        <f t="shared" si="95"/>
        <v>0.30000000000000004</v>
      </c>
      <c r="Q37" s="5">
        <f t="shared" si="95"/>
        <v>0.30000000000000004</v>
      </c>
      <c r="R37" s="5">
        <f t="shared" si="95"/>
        <v>0.30000000000000004</v>
      </c>
      <c r="S37" s="5">
        <f t="shared" si="95"/>
        <v>0.30000000000000004</v>
      </c>
      <c r="T37" s="5">
        <f t="shared" si="95"/>
        <v>0.30000000000000027</v>
      </c>
      <c r="U37" s="5">
        <f t="shared" si="95"/>
        <v>0.30000000000000004</v>
      </c>
      <c r="V37" s="5">
        <f t="shared" si="95"/>
        <v>0.30000000000000004</v>
      </c>
      <c r="W37" s="5">
        <f t="shared" si="95"/>
        <v>0.30000000000000004</v>
      </c>
      <c r="X37" s="5">
        <f t="shared" si="95"/>
        <v>0.30000000000000004</v>
      </c>
      <c r="Y37" s="5">
        <f t="shared" si="95"/>
        <v>0.30000000000000027</v>
      </c>
      <c r="AC37" s="5"/>
    </row>
    <row r="38" spans="1:171" x14ac:dyDescent="0.2"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AC38" s="5"/>
    </row>
    <row r="39" spans="1:171" x14ac:dyDescent="0.2">
      <c r="B39" s="1" t="s">
        <v>71</v>
      </c>
      <c r="H39" s="14">
        <v>410000</v>
      </c>
      <c r="M39" s="5"/>
      <c r="N39" s="5"/>
      <c r="O39" s="5"/>
      <c r="P39" s="1">
        <f t="shared" ref="P39:Y39" si="96">P21*0.73</f>
        <v>11668.126848456486</v>
      </c>
      <c r="Q39" s="1">
        <f t="shared" si="96"/>
        <v>17523.342667635152</v>
      </c>
      <c r="R39" s="1">
        <f t="shared" si="96"/>
        <v>24480.318620268772</v>
      </c>
      <c r="S39" s="1">
        <f t="shared" si="96"/>
        <v>31584.579614862025</v>
      </c>
      <c r="T39" s="1">
        <f t="shared" si="96"/>
        <v>39369.364751662004</v>
      </c>
      <c r="U39" s="1">
        <f t="shared" si="96"/>
        <v>49126.474159050442</v>
      </c>
      <c r="V39" s="1">
        <f t="shared" si="96"/>
        <v>56101.415767519495</v>
      </c>
      <c r="W39" s="1">
        <f t="shared" si="96"/>
        <v>64657.704259293903</v>
      </c>
      <c r="X39" s="1">
        <f t="shared" si="96"/>
        <v>75305.88404462488</v>
      </c>
      <c r="Y39" s="1">
        <f t="shared" si="96"/>
        <v>88745.538956723773</v>
      </c>
      <c r="Z39" s="1">
        <f>Y39*(1+$AB$10)</f>
        <v>89632.994346291016</v>
      </c>
      <c r="AA39" s="1">
        <f>Z39*(1+$AB$10)</f>
        <v>90529.324289753931</v>
      </c>
      <c r="AB39" s="1">
        <f>AA39*(1+$AB$10)</f>
        <v>91434.617532651479</v>
      </c>
      <c r="AC39" s="1">
        <f>AB39*(1+$AB$10)</f>
        <v>92348.963707977993</v>
      </c>
      <c r="AD39" s="1">
        <f>AC39*(1+$AB$10)</f>
        <v>93272.453345057773</v>
      </c>
      <c r="AE39" s="1">
        <f>AD39*(1+$AB$10)</f>
        <v>94205.177878508344</v>
      </c>
      <c r="AF39" s="1">
        <f>AE39*(1+$AB$10)</f>
        <v>95147.229657293428</v>
      </c>
      <c r="AG39" s="1">
        <f>AF39*(1+$AB$10)</f>
        <v>96098.701953866359</v>
      </c>
      <c r="AH39" s="1">
        <f>AG39*(1+$AB$10)</f>
        <v>97059.68897340502</v>
      </c>
      <c r="AI39" s="1">
        <f>AH39*(1+$AB$10)</f>
        <v>98030.28586313907</v>
      </c>
      <c r="AJ39" s="1">
        <f>AI39*(1+$AB$10)</f>
        <v>99010.588721770459</v>
      </c>
      <c r="AK39" s="1">
        <f>AJ39*(1+$AB$10)</f>
        <v>100000.69460898817</v>
      </c>
      <c r="AL39" s="1">
        <f>AK39*(1+$AB$10)</f>
        <v>101000.70155507805</v>
      </c>
      <c r="AM39" s="1">
        <f>AL39*(1+$AB$10)</f>
        <v>102010.70857062883</v>
      </c>
      <c r="AN39" s="1">
        <f>AM39*(1+$AB$10)</f>
        <v>103030.81565633512</v>
      </c>
      <c r="AO39" s="1">
        <f>AN39*(1+$AB$10)</f>
        <v>104061.12381289847</v>
      </c>
      <c r="AP39" s="1">
        <f>AO39*(1+$AB$10)</f>
        <v>105101.73505102746</v>
      </c>
      <c r="AQ39" s="1">
        <f>AP39*(1+$AB$10)</f>
        <v>106152.75240153773</v>
      </c>
      <c r="AR39" s="1">
        <f>AQ39*(1+$AB$10)</f>
        <v>107214.2799255531</v>
      </c>
      <c r="AS39" s="1">
        <f>AR39*(1+$AB$10)</f>
        <v>108286.42272480862</v>
      </c>
      <c r="AT39" s="1">
        <f>AS39*(1+$AB$10)</f>
        <v>109369.28695205672</v>
      </c>
      <c r="AU39" s="1">
        <f>AT39*(1+$AB$10)</f>
        <v>110462.97982157729</v>
      </c>
      <c r="AV39" s="1">
        <f>AU39*(1+$AB$10)</f>
        <v>111567.60961979306</v>
      </c>
      <c r="AW39" s="1">
        <f>AV39*(1+$AB$10)</f>
        <v>112683.28571599099</v>
      </c>
      <c r="AX39" s="1">
        <f>AW39*(1+$AB$10)</f>
        <v>113810.1185731509</v>
      </c>
      <c r="AY39" s="1">
        <f>AX39*(1+$AB$10)</f>
        <v>114948.21975888242</v>
      </c>
      <c r="AZ39" s="1">
        <f>AY39*(1+$AB$10)</f>
        <v>116097.70195647124</v>
      </c>
      <c r="BA39" s="1">
        <f>AZ39*(1+$AB$10)</f>
        <v>117258.67897603595</v>
      </c>
      <c r="BB39" s="1">
        <f>BA39*(1+$AB$10)</f>
        <v>118431.26576579631</v>
      </c>
      <c r="BC39" s="1">
        <f>BB39*(1+$AB$10)</f>
        <v>119615.57842345428</v>
      </c>
      <c r="BD39" s="1">
        <f>BC39*(1+$AB$10)</f>
        <v>120811.73420768883</v>
      </c>
      <c r="BE39" s="1">
        <f>BD39*(1+$AB$10)</f>
        <v>122019.85154976572</v>
      </c>
      <c r="BF39" s="1">
        <f>BE39*(1+$AB$10)</f>
        <v>123240.05006526338</v>
      </c>
      <c r="BG39" s="1">
        <f>BF39*(1+$AB$10)</f>
        <v>124472.45056591601</v>
      </c>
      <c r="BH39" s="1">
        <f>BG39*(1+$AB$10)</f>
        <v>125717.17507157517</v>
      </c>
      <c r="BI39" s="1">
        <f>BH39*(1+$AB$10)</f>
        <v>126974.34682229093</v>
      </c>
      <c r="BJ39" s="1">
        <f>BI39*(1+$AB$10)</f>
        <v>128244.09029051384</v>
      </c>
      <c r="BK39" s="1">
        <f>BJ39*(1+$AB$10)</f>
        <v>129526.53119341898</v>
      </c>
      <c r="BL39" s="1">
        <f>BK39*(1+$AB$10)</f>
        <v>130821.79650535317</v>
      </c>
      <c r="BM39" s="1">
        <f>BL39*(1+$AB$10)</f>
        <v>132130.01447040669</v>
      </c>
      <c r="BN39" s="1">
        <f>BM39*(1+$AB$10)</f>
        <v>133451.31461511075</v>
      </c>
      <c r="BO39" s="1">
        <f>BN39*(1+$AB$10)</f>
        <v>134785.82776126187</v>
      </c>
      <c r="BP39" s="1">
        <f>BO39*(1+$AB$10)</f>
        <v>136133.6860388745</v>
      </c>
      <c r="BQ39" s="1">
        <f>BP39*(1+$AB$10)</f>
        <v>137495.02289926325</v>
      </c>
      <c r="BR39" s="1">
        <f>BQ39*(1+$AB$10)</f>
        <v>138869.97312825589</v>
      </c>
      <c r="BS39" s="1">
        <f>BR39*(1+$AB$10)</f>
        <v>140258.67285953846</v>
      </c>
      <c r="BT39" s="1">
        <f>BS39*(1+$AB$10)</f>
        <v>141661.25958813383</v>
      </c>
      <c r="BU39" s="1">
        <f>BT39*(1+$AB$10)</f>
        <v>143077.87218401517</v>
      </c>
      <c r="BV39" s="1">
        <f>BU39*(1+$AB$10)</f>
        <v>144508.65090585532</v>
      </c>
      <c r="BW39" s="1">
        <f>BV39*(1+$AB$10)</f>
        <v>145953.73741491386</v>
      </c>
      <c r="BX39" s="1">
        <f>BW39*(1+$AB$10)</f>
        <v>147413.274789063</v>
      </c>
      <c r="BY39" s="1">
        <f>BX39*(1+$AB$10)</f>
        <v>148887.40753695363</v>
      </c>
      <c r="BZ39" s="1">
        <f>BY39*(1+$AB$10)</f>
        <v>150376.28161232316</v>
      </c>
      <c r="CA39" s="1">
        <f>BZ39*(1+$AB$10)</f>
        <v>151880.04442844639</v>
      </c>
      <c r="CB39" s="1">
        <f>CA39*(1+$AB$10)</f>
        <v>153398.84487273084</v>
      </c>
      <c r="CC39" s="1">
        <f>CB39*(1+$AB$10)</f>
        <v>154932.83332145817</v>
      </c>
      <c r="CD39" s="1">
        <f>CC39*(1+$AB$10)</f>
        <v>156482.16165467276</v>
      </c>
      <c r="CE39" s="1">
        <f>CD39*(1+$AB$10)</f>
        <v>158046.98327121948</v>
      </c>
      <c r="CF39" s="1">
        <f>CE39*(1+$AB$10)</f>
        <v>159627.45310393168</v>
      </c>
      <c r="CG39" s="1">
        <f>CF39*(1+$AB$10)</f>
        <v>161223.727634971</v>
      </c>
      <c r="CH39" s="1">
        <f>CG39*(1+$AB$10)</f>
        <v>162835.96491132071</v>
      </c>
      <c r="CI39" s="1">
        <f>CH39*(1+$AB$10)</f>
        <v>164464.32456043392</v>
      </c>
      <c r="CJ39" s="1">
        <f>CI39*(1+$AB$10)</f>
        <v>166108.96780603827</v>
      </c>
      <c r="CK39" s="1">
        <f>CJ39*(1+$AB$10)</f>
        <v>167770.05748409865</v>
      </c>
      <c r="CL39" s="1">
        <f>CK39*(1+$AB$10)</f>
        <v>169447.75805893965</v>
      </c>
      <c r="CM39" s="1">
        <f>CL39*(1+$AB$10)</f>
        <v>171142.23563952904</v>
      </c>
      <c r="CN39" s="1">
        <f>CM39*(1+$AB$10)</f>
        <v>172853.65799592432</v>
      </c>
      <c r="CO39" s="1">
        <f>CN39*(1+$AB$10)</f>
        <v>174582.19457588356</v>
      </c>
      <c r="CP39" s="1">
        <f>CO39*(1+$AB$10)</f>
        <v>176328.01652164239</v>
      </c>
      <c r="CQ39" s="1">
        <f>CP39*(1+$AB$10)</f>
        <v>178091.29668685881</v>
      </c>
      <c r="CR39" s="1">
        <f>CQ39*(1+$AB$10)</f>
        <v>179872.20965372739</v>
      </c>
      <c r="CS39" s="1">
        <f>CR39*(1+$AB$10)</f>
        <v>181670.93175026466</v>
      </c>
      <c r="CT39" s="1">
        <f>CS39*(1+$AB$10)</f>
        <v>183487.64106776731</v>
      </c>
      <c r="CU39" s="1">
        <f>CT39*(1+$AB$10)</f>
        <v>185322.51747844499</v>
      </c>
      <c r="CV39" s="1">
        <f>CU39*(1+$AB$10)</f>
        <v>187175.74265322945</v>
      </c>
      <c r="CW39" s="1">
        <f>CV39*(1+$AB$10)</f>
        <v>189047.50007976175</v>
      </c>
      <c r="CX39" s="1">
        <f>CW39*(1+$AB$10)</f>
        <v>190937.97508055938</v>
      </c>
      <c r="CY39" s="1">
        <f>CX39*(1+$AB$10)</f>
        <v>192847.35483136497</v>
      </c>
      <c r="CZ39" s="1">
        <f>CY39*(1+$AB$10)</f>
        <v>194775.82837967863</v>
      </c>
      <c r="DA39" s="1">
        <f>CZ39*(1+$AB$10)</f>
        <v>196723.58666347541</v>
      </c>
      <c r="DB39" s="1">
        <f>DA39*(1+$AB$10)</f>
        <v>198690.82253011016</v>
      </c>
      <c r="DC39" s="1">
        <f>DB39*(1+$AB$10)</f>
        <v>200677.73075541126</v>
      </c>
      <c r="DD39" s="1">
        <f>DC39*(1+$AB$10)</f>
        <v>202684.50806296538</v>
      </c>
      <c r="DE39" s="1">
        <f>DD39*(1+$AB$10)</f>
        <v>204711.35314359504</v>
      </c>
      <c r="DF39" s="1">
        <f>DE39*(1+$AB$10)</f>
        <v>206758.466675031</v>
      </c>
      <c r="DG39" s="1">
        <f>DF39*(1+$AB$10)</f>
        <v>208826.05134178131</v>
      </c>
      <c r="DH39" s="1">
        <f>DG39*(1+$AB$10)</f>
        <v>210914.31185519911</v>
      </c>
      <c r="DI39" s="1">
        <f>DH39*(1+$AB$10)</f>
        <v>213023.4549737511</v>
      </c>
      <c r="DJ39" s="1">
        <f>DI39*(1+$AB$10)</f>
        <v>215153.6895234886</v>
      </c>
      <c r="DK39" s="1">
        <f>DJ39*(1+$AB$10)</f>
        <v>217305.2264187235</v>
      </c>
      <c r="DL39" s="1">
        <f>DK39*(1+$AB$10)</f>
        <v>219478.27868291072</v>
      </c>
      <c r="DM39" s="1">
        <f>DL39*(1+$AB$10)</f>
        <v>221673.06146973983</v>
      </c>
      <c r="DN39" s="1">
        <f>DM39*(1+$AB$10)</f>
        <v>223889.79208443721</v>
      </c>
      <c r="DO39" s="1">
        <f>DN39*(1+$AB$10)</f>
        <v>226128.69000528159</v>
      </c>
      <c r="DP39" s="1">
        <f>DO39*(1+$AB$10)</f>
        <v>228389.97690533442</v>
      </c>
      <c r="DQ39" s="1">
        <f>DP39*(1+$AB$10)</f>
        <v>230673.87667438778</v>
      </c>
      <c r="DR39" s="1">
        <f>DQ39*(1+$AB$10)</f>
        <v>232980.61544113167</v>
      </c>
      <c r="DS39" s="1">
        <f>DR39*(1+$AB$10)</f>
        <v>235310.42159554298</v>
      </c>
      <c r="DT39" s="1">
        <f>DS39*(1+$AB$10)</f>
        <v>237663.5258114984</v>
      </c>
      <c r="DU39" s="1">
        <f>DT39*(1+$AB$10)</f>
        <v>240040.16106961339</v>
      </c>
      <c r="DV39" s="1">
        <f>DU39*(1+$AB$10)</f>
        <v>242440.56268030952</v>
      </c>
      <c r="DW39" s="1">
        <f>DV39*(1+$AB$10)</f>
        <v>244864.96830711261</v>
      </c>
      <c r="DX39" s="1">
        <f>DW39*(1+$AB$10)</f>
        <v>247313.61799018373</v>
      </c>
      <c r="DY39" s="1">
        <f>DX39*(1+$AB$10)</f>
        <v>249786.75417008557</v>
      </c>
      <c r="DZ39" s="1">
        <f>DY39*(1+$AB$10)</f>
        <v>252284.62171178643</v>
      </c>
      <c r="EA39" s="1">
        <f>DZ39*(1+$AB$10)</f>
        <v>254807.46792890428</v>
      </c>
      <c r="EB39" s="1">
        <f>EA39*(1+$AB$10)</f>
        <v>257355.54260819333</v>
      </c>
      <c r="EC39" s="1">
        <f>EB39*(1+$AB$10)</f>
        <v>259929.09803427526</v>
      </c>
      <c r="ED39" s="1">
        <f>EC39*(1+$AB$10)</f>
        <v>262528.38901461801</v>
      </c>
      <c r="EE39" s="1">
        <f>ED39*(1+$AB$10)</f>
        <v>265153.67290476419</v>
      </c>
      <c r="EF39" s="1">
        <f>EE39*(1+$AB$10)</f>
        <v>267805.20963381184</v>
      </c>
      <c r="EG39" s="1">
        <f>EF39*(1+$AB$10)</f>
        <v>270483.26173014997</v>
      </c>
      <c r="EH39" s="1">
        <f>EG39*(1+$AB$10)</f>
        <v>273188.09434745146</v>
      </c>
      <c r="EI39" s="1">
        <f>EH39*(1+$AB$10)</f>
        <v>275919.975290926</v>
      </c>
      <c r="EJ39" s="1">
        <f>EI39*(1+$AB$10)</f>
        <v>278679.17504383525</v>
      </c>
      <c r="EK39" s="1">
        <f>EJ39*(1+$AB$10)</f>
        <v>281465.96679427358</v>
      </c>
      <c r="EL39" s="1">
        <f>EK39*(1+$AB$10)</f>
        <v>284280.62646221631</v>
      </c>
      <c r="EM39" s="1">
        <f>EL39*(1+$AB$10)</f>
        <v>287123.43272683845</v>
      </c>
      <c r="EN39" s="1">
        <f>EM39*(1+$AB$10)</f>
        <v>289994.66705410683</v>
      </c>
      <c r="EO39" s="1">
        <f>EN39*(1+$AB$10)</f>
        <v>292894.6137246479</v>
      </c>
      <c r="EP39" s="1">
        <f>EO39*(1+$AB$10)</f>
        <v>295823.55986189441</v>
      </c>
      <c r="EQ39" s="1">
        <f>EP39*(1+$AB$10)</f>
        <v>298781.79546051333</v>
      </c>
      <c r="ER39" s="1">
        <f>EQ39*(1+$AB$10)</f>
        <v>301769.61341511848</v>
      </c>
      <c r="ES39" s="1">
        <f>ER39*(1+$AB$10)</f>
        <v>304787.30954926967</v>
      </c>
      <c r="ET39" s="1">
        <f>ES39*(1+$AB$10)</f>
        <v>307835.18264476239</v>
      </c>
      <c r="EU39" s="1">
        <f>ET39*(1+$AB$10)</f>
        <v>310913.53447121003</v>
      </c>
      <c r="EV39" s="1">
        <f>EU39*(1+$AB$10)</f>
        <v>314022.66981592216</v>
      </c>
      <c r="EW39" s="1">
        <f>EV39*(1+$AB$10)</f>
        <v>317162.8965140814</v>
      </c>
      <c r="EX39" s="1">
        <f>EW39*(1+$AB$10)</f>
        <v>320334.52547922224</v>
      </c>
      <c r="EY39" s="1">
        <f>EX39*(1+$AB$10)</f>
        <v>323537.87073401449</v>
      </c>
      <c r="EZ39" s="1">
        <f>EY39*(1+$AB$10)</f>
        <v>326773.24944135465</v>
      </c>
      <c r="FA39" s="1">
        <f>EZ39*(1+$AB$10)</f>
        <v>330040.98193576821</v>
      </c>
      <c r="FB39" s="1">
        <f>FA39*(1+$AB$10)</f>
        <v>333341.39175512589</v>
      </c>
      <c r="FC39" s="1">
        <f>FB39*(1+$AB$10)</f>
        <v>336674.80567267718</v>
      </c>
      <c r="FD39" s="1">
        <f>FC39*(1+$AB$10)</f>
        <v>340041.55372940394</v>
      </c>
      <c r="FE39" s="1">
        <f>FD39*(1+$AB$10)</f>
        <v>343441.969266698</v>
      </c>
      <c r="FF39" s="1">
        <f>FE39*(1+$AB$10)</f>
        <v>346876.38895936497</v>
      </c>
      <c r="FG39" s="1">
        <f>FF39*(1+$AB$10)</f>
        <v>350345.15284895862</v>
      </c>
      <c r="FH39" s="1">
        <f>FG39*(1+$AB$10)</f>
        <v>353848.60437744821</v>
      </c>
      <c r="FI39" s="1">
        <f>FH39*(1+$AB$10)</f>
        <v>357387.09042122267</v>
      </c>
      <c r="FJ39" s="1">
        <f>FI39*(1+$AB$10)</f>
        <v>360960.96132543491</v>
      </c>
      <c r="FK39" s="1">
        <f>FJ39*(1+$AB$10)</f>
        <v>364570.57093868928</v>
      </c>
      <c r="FL39" s="1">
        <f>FK39*(1+$AB$10)</f>
        <v>368216.27664807619</v>
      </c>
      <c r="FM39" s="1">
        <f>FL39*(1+$AB$10)</f>
        <v>371898.43941455695</v>
      </c>
      <c r="FN39" s="1">
        <f>FM39*(1+$AB$10)</f>
        <v>375617.4238087025</v>
      </c>
      <c r="FO39" s="1">
        <f>FN39*(1+$AB$10)</f>
        <v>379373.59804678953</v>
      </c>
    </row>
    <row r="40" spans="1:171" x14ac:dyDescent="0.2">
      <c r="B40" s="1" t="s">
        <v>72</v>
      </c>
      <c r="H40" s="1">
        <v>384000</v>
      </c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  <c r="AC40" s="5"/>
    </row>
    <row r="41" spans="1:171" x14ac:dyDescent="0.2">
      <c r="M41" s="5"/>
      <c r="N41" s="5"/>
      <c r="O41" s="5"/>
      <c r="P41" s="5"/>
      <c r="Q41" s="4"/>
    </row>
    <row r="42" spans="1:171" x14ac:dyDescent="0.2">
      <c r="B42" s="1" t="s">
        <v>13</v>
      </c>
      <c r="L42" s="1">
        <v>24390</v>
      </c>
      <c r="M42" s="1">
        <v>71177</v>
      </c>
      <c r="N42" s="1">
        <v>70826</v>
      </c>
      <c r="O42" s="1">
        <v>94105</v>
      </c>
    </row>
    <row r="43" spans="1:171" x14ac:dyDescent="0.2">
      <c r="B43" s="1" t="s">
        <v>12</v>
      </c>
      <c r="L43" s="1">
        <v>906032</v>
      </c>
      <c r="M43" s="1">
        <v>1298434</v>
      </c>
      <c r="N43" s="1">
        <v>1775159</v>
      </c>
      <c r="O43" s="1">
        <v>1679338</v>
      </c>
      <c r="P43" s="1">
        <f>F47*4</f>
        <v>1836000</v>
      </c>
      <c r="Q43" s="1">
        <f>P43*1.3</f>
        <v>2386800</v>
      </c>
      <c r="R43" s="1">
        <f>Q43*1.2</f>
        <v>2864160</v>
      </c>
      <c r="S43" s="1">
        <f>R43*1.1</f>
        <v>3150576.0000000005</v>
      </c>
      <c r="T43" s="1">
        <f>S43*1.05</f>
        <v>3308104.8000000007</v>
      </c>
      <c r="U43" s="1">
        <f>T43*1.05</f>
        <v>3473510.040000001</v>
      </c>
      <c r="V43" s="1">
        <f t="shared" ref="V43:Y43" si="97">U43*1.05</f>
        <v>3647185.5420000013</v>
      </c>
      <c r="W43" s="1">
        <f t="shared" si="97"/>
        <v>3829544.8191000014</v>
      </c>
      <c r="X43" s="1">
        <f t="shared" si="97"/>
        <v>4021022.0600550016</v>
      </c>
      <c r="Y43" s="1">
        <f t="shared" si="97"/>
        <v>4222073.163057752</v>
      </c>
    </row>
    <row r="44" spans="1:171" x14ac:dyDescent="0.2">
      <c r="B44" s="1" t="s">
        <v>45</v>
      </c>
      <c r="P44" s="1">
        <v>150000</v>
      </c>
      <c r="Q44" s="1">
        <f>P44*1.1</f>
        <v>165000</v>
      </c>
      <c r="R44" s="1">
        <f>Q44*1.1</f>
        <v>181500.00000000003</v>
      </c>
      <c r="S44" s="1">
        <f>R44*1.1</f>
        <v>199650.00000000006</v>
      </c>
      <c r="T44" s="1">
        <f>S44*1.1</f>
        <v>219615.00000000009</v>
      </c>
      <c r="U44" s="1">
        <f>T44*1.1</f>
        <v>241576.50000000012</v>
      </c>
      <c r="V44" s="1">
        <f t="shared" ref="V44:Y44" si="98">U44*1.1</f>
        <v>265734.15000000014</v>
      </c>
      <c r="W44" s="1">
        <f t="shared" si="98"/>
        <v>292307.56500000018</v>
      </c>
      <c r="X44" s="1">
        <f t="shared" si="98"/>
        <v>321538.32150000019</v>
      </c>
      <c r="Y44" s="1">
        <f t="shared" si="98"/>
        <v>353692.15365000023</v>
      </c>
    </row>
    <row r="45" spans="1:171" x14ac:dyDescent="0.2">
      <c r="B45" s="1" t="s">
        <v>46</v>
      </c>
      <c r="L45" s="5"/>
      <c r="M45" s="5"/>
      <c r="N45" s="5"/>
      <c r="O45" s="5"/>
      <c r="P45" s="1">
        <v>50000</v>
      </c>
      <c r="Q45" s="1">
        <f>P45*2</f>
        <v>100000</v>
      </c>
      <c r="R45" s="1">
        <f>Q45*2</f>
        <v>200000</v>
      </c>
      <c r="S45" s="1">
        <f>R45*1.4</f>
        <v>280000</v>
      </c>
      <c r="T45" s="1">
        <f t="shared" ref="T45:Y45" si="99">S45*1.4</f>
        <v>392000</v>
      </c>
      <c r="U45" s="1">
        <f t="shared" si="99"/>
        <v>548800</v>
      </c>
      <c r="V45" s="1">
        <f t="shared" si="99"/>
        <v>768320</v>
      </c>
      <c r="W45" s="1">
        <f t="shared" si="99"/>
        <v>1075648</v>
      </c>
      <c r="X45" s="1">
        <f t="shared" si="99"/>
        <v>1505907.2</v>
      </c>
      <c r="Y45" s="1">
        <f t="shared" si="99"/>
        <v>2108270.0799999996</v>
      </c>
    </row>
    <row r="46" spans="1:171" x14ac:dyDescent="0.2">
      <c r="B46" s="1" t="s">
        <v>47</v>
      </c>
      <c r="Q46" s="1">
        <v>50000</v>
      </c>
      <c r="R46" s="1">
        <f>Q46*1.1</f>
        <v>55000.000000000007</v>
      </c>
      <c r="S46" s="1">
        <f t="shared" ref="S46:U46" si="100">R46*1.1</f>
        <v>60500.000000000015</v>
      </c>
      <c r="T46" s="1">
        <f t="shared" si="100"/>
        <v>66550.000000000015</v>
      </c>
      <c r="U46" s="1">
        <f t="shared" si="100"/>
        <v>73205.000000000029</v>
      </c>
      <c r="V46" s="1">
        <f t="shared" ref="V46" si="101">U46*1.1</f>
        <v>80525.500000000044</v>
      </c>
      <c r="W46" s="1">
        <f t="shared" ref="W46" si="102">V46*1.1</f>
        <v>88578.050000000061</v>
      </c>
      <c r="X46" s="1">
        <f t="shared" ref="X46" si="103">W46*1.1</f>
        <v>97435.855000000069</v>
      </c>
      <c r="Y46" s="1">
        <f t="shared" ref="Y46" si="104">X46*1.1</f>
        <v>107179.44050000008</v>
      </c>
    </row>
    <row r="47" spans="1:171" x14ac:dyDescent="0.2">
      <c r="B47" s="1" t="s">
        <v>14</v>
      </c>
      <c r="C47" s="1">
        <f>SUM(C43:C43)</f>
        <v>0</v>
      </c>
      <c r="F47" s="1">
        <v>459000</v>
      </c>
      <c r="L47" s="1">
        <f t="shared" ref="L47:U47" si="105">SUM(L43:L46)</f>
        <v>906032</v>
      </c>
      <c r="M47" s="1">
        <f t="shared" si="105"/>
        <v>1298434</v>
      </c>
      <c r="N47" s="1">
        <f t="shared" si="105"/>
        <v>1775159</v>
      </c>
      <c r="O47" s="1">
        <f t="shared" si="105"/>
        <v>1679338</v>
      </c>
      <c r="P47" s="1">
        <f t="shared" si="105"/>
        <v>2036000</v>
      </c>
      <c r="Q47" s="1">
        <f t="shared" si="105"/>
        <v>2701800</v>
      </c>
      <c r="R47" s="1">
        <f t="shared" si="105"/>
        <v>3300660</v>
      </c>
      <c r="S47" s="1">
        <f t="shared" si="105"/>
        <v>3690726.0000000005</v>
      </c>
      <c r="T47" s="1">
        <f t="shared" si="105"/>
        <v>3986269.8000000007</v>
      </c>
      <c r="U47" s="1">
        <f t="shared" si="105"/>
        <v>4337091.540000001</v>
      </c>
      <c r="V47" s="1">
        <f t="shared" ref="V47:Y47" si="106">SUM(V43:V46)</f>
        <v>4761765.1920000017</v>
      </c>
      <c r="W47" s="1">
        <f t="shared" si="106"/>
        <v>5286078.4341000011</v>
      </c>
      <c r="X47" s="1">
        <f t="shared" si="106"/>
        <v>5945903.4365550028</v>
      </c>
      <c r="Y47" s="1">
        <f t="shared" si="106"/>
        <v>6791214.8372077532</v>
      </c>
    </row>
    <row r="48" spans="1:171" x14ac:dyDescent="0.2">
      <c r="B48" s="1" t="s">
        <v>48</v>
      </c>
      <c r="P48" s="1">
        <f>O53*1.02</f>
        <v>46810.945741714888</v>
      </c>
      <c r="Q48" s="1">
        <f>P48*1.01</f>
        <v>47279.055199132039</v>
      </c>
      <c r="R48" s="1">
        <f t="shared" ref="R48:U48" si="107">Q48*1.01</f>
        <v>47751.845751123357</v>
      </c>
      <c r="S48" s="1">
        <f t="shared" si="107"/>
        <v>48229.364208634594</v>
      </c>
      <c r="T48" s="1">
        <f t="shared" si="107"/>
        <v>48711.657850720941</v>
      </c>
      <c r="U48" s="1">
        <f t="shared" si="107"/>
        <v>49198.77442922815</v>
      </c>
      <c r="V48" s="1">
        <f t="shared" ref="V48:V51" si="108">U48*1.01</f>
        <v>49690.76217352043</v>
      </c>
      <c r="W48" s="1">
        <f t="shared" ref="W48:W51" si="109">V48*1.01</f>
        <v>50187.669795255635</v>
      </c>
      <c r="X48" s="1">
        <f t="shared" ref="X48:X51" si="110">W48*1.01</f>
        <v>50689.546493208189</v>
      </c>
      <c r="Y48" s="1">
        <f t="shared" ref="Y48:Y51" si="111">X48*1.01</f>
        <v>51196.441958140269</v>
      </c>
      <c r="AA48" s="1" t="s">
        <v>15</v>
      </c>
      <c r="AB48" s="5">
        <v>0.01</v>
      </c>
    </row>
    <row r="49" spans="2:149" x14ac:dyDescent="0.2">
      <c r="B49" s="1" t="s">
        <v>49</v>
      </c>
      <c r="P49" s="1">
        <v>65000</v>
      </c>
      <c r="Q49" s="1">
        <f>P49*1.01</f>
        <v>65650</v>
      </c>
      <c r="R49" s="1">
        <f t="shared" ref="R49:U49" si="112">Q49*1.01</f>
        <v>66306.5</v>
      </c>
      <c r="S49" s="1">
        <f t="shared" si="112"/>
        <v>66969.565000000002</v>
      </c>
      <c r="T49" s="1">
        <f t="shared" si="112"/>
        <v>67639.260649999997</v>
      </c>
      <c r="U49" s="1">
        <f t="shared" si="112"/>
        <v>68315.653256499994</v>
      </c>
      <c r="V49" s="1">
        <f t="shared" si="108"/>
        <v>68998.809789064995</v>
      </c>
      <c r="W49" s="1">
        <f t="shared" si="109"/>
        <v>69688.797886955639</v>
      </c>
      <c r="X49" s="1">
        <f t="shared" si="110"/>
        <v>70385.685865825202</v>
      </c>
      <c r="Y49" s="1">
        <f t="shared" si="111"/>
        <v>71089.542724483457</v>
      </c>
      <c r="AA49" s="1" t="s">
        <v>16</v>
      </c>
      <c r="AB49" s="5">
        <v>0.12</v>
      </c>
    </row>
    <row r="50" spans="2:149" x14ac:dyDescent="0.2">
      <c r="B50" s="1" t="s">
        <v>50</v>
      </c>
      <c r="P50" s="1">
        <v>30000</v>
      </c>
      <c r="Q50" s="1">
        <f>P50*1.01</f>
        <v>30300</v>
      </c>
      <c r="R50" s="1">
        <f t="shared" ref="R50:U50" si="113">Q50*1.01</f>
        <v>30603</v>
      </c>
      <c r="S50" s="1">
        <f t="shared" si="113"/>
        <v>30909.03</v>
      </c>
      <c r="T50" s="1">
        <f t="shared" si="113"/>
        <v>31218.120299999999</v>
      </c>
      <c r="U50" s="1">
        <f t="shared" si="113"/>
        <v>31530.301502999999</v>
      </c>
      <c r="V50" s="1">
        <f t="shared" si="108"/>
        <v>31845.604518029999</v>
      </c>
      <c r="W50" s="1">
        <f t="shared" si="109"/>
        <v>32164.0605632103</v>
      </c>
      <c r="X50" s="1">
        <f t="shared" si="110"/>
        <v>32485.701168842403</v>
      </c>
      <c r="Y50" s="1">
        <f t="shared" si="111"/>
        <v>32810.558180530825</v>
      </c>
      <c r="AA50" s="3" t="s">
        <v>17</v>
      </c>
      <c r="AB50" s="3">
        <f>NPV(AB49,P57:ES57)</f>
        <v>298773.42404306022</v>
      </c>
    </row>
    <row r="51" spans="2:149" x14ac:dyDescent="0.2">
      <c r="B51" s="1" t="s">
        <v>51</v>
      </c>
      <c r="P51" s="1">
        <v>165000</v>
      </c>
      <c r="Q51" s="1">
        <f>P51*1.01</f>
        <v>166650</v>
      </c>
      <c r="R51" s="1">
        <f t="shared" ref="R51:U51" si="114">Q51*1.01</f>
        <v>168316.5</v>
      </c>
      <c r="S51" s="1">
        <f t="shared" si="114"/>
        <v>169999.66500000001</v>
      </c>
      <c r="T51" s="1">
        <f t="shared" si="114"/>
        <v>171699.66165000002</v>
      </c>
      <c r="U51" s="1">
        <f t="shared" si="114"/>
        <v>173416.65826650002</v>
      </c>
      <c r="V51" s="1">
        <f t="shared" si="108"/>
        <v>175150.82484916502</v>
      </c>
      <c r="W51" s="1">
        <f t="shared" si="109"/>
        <v>176902.33309765666</v>
      </c>
      <c r="X51" s="1">
        <f t="shared" si="110"/>
        <v>178671.35642863324</v>
      </c>
      <c r="Y51" s="1">
        <f t="shared" si="111"/>
        <v>180458.06999291957</v>
      </c>
    </row>
    <row r="52" spans="2:149" x14ac:dyDescent="0.2">
      <c r="B52" s="1" t="s">
        <v>56</v>
      </c>
      <c r="F52" s="1">
        <f>F5*1000000/F47</f>
        <v>43132.897603485842</v>
      </c>
      <c r="P52" s="1">
        <f t="shared" ref="P52:U52" si="115">P46+P44+P43</f>
        <v>1986000</v>
      </c>
      <c r="Q52" s="1">
        <f t="shared" si="115"/>
        <v>2601800</v>
      </c>
      <c r="R52" s="1">
        <f t="shared" si="115"/>
        <v>3100660</v>
      </c>
      <c r="S52" s="1">
        <f t="shared" si="115"/>
        <v>3410726.0000000005</v>
      </c>
      <c r="T52" s="1">
        <f t="shared" si="115"/>
        <v>3594269.8000000007</v>
      </c>
      <c r="U52" s="1">
        <f t="shared" si="115"/>
        <v>3788291.540000001</v>
      </c>
      <c r="V52" s="1">
        <f t="shared" ref="V52:Y52" si="116">V46+V44+V43</f>
        <v>3993445.1920000017</v>
      </c>
      <c r="W52" s="1">
        <f t="shared" si="116"/>
        <v>4210430.4341000021</v>
      </c>
      <c r="X52" s="1">
        <f t="shared" si="116"/>
        <v>4439996.2365550017</v>
      </c>
      <c r="Y52" s="1">
        <f t="shared" si="116"/>
        <v>4682944.7572077522</v>
      </c>
    </row>
    <row r="53" spans="2:149" x14ac:dyDescent="0.2">
      <c r="B53" s="1" t="s">
        <v>70</v>
      </c>
      <c r="L53" s="1">
        <f>L5*1000000/L47</f>
        <v>52130.609073410211</v>
      </c>
      <c r="M53" s="1">
        <f>M5*1000000/M47</f>
        <v>55037.067729280039</v>
      </c>
      <c r="N53" s="1">
        <f>N5*1000000/N47</f>
        <v>46429.080437301673</v>
      </c>
      <c r="O53" s="1">
        <f>O5*1000000/O47</f>
        <v>45893.084060504792</v>
      </c>
      <c r="P53" s="1">
        <v>52000</v>
      </c>
      <c r="Q53" s="1">
        <v>52000</v>
      </c>
      <c r="R53" s="1">
        <v>52000</v>
      </c>
      <c r="S53" s="1">
        <v>52000</v>
      </c>
      <c r="T53" s="1">
        <v>52000</v>
      </c>
      <c r="U53" s="1">
        <v>52000</v>
      </c>
      <c r="V53" s="1">
        <v>52000</v>
      </c>
      <c r="W53" s="1">
        <v>52000</v>
      </c>
      <c r="X53" s="1">
        <v>52000</v>
      </c>
      <c r="Y53" s="1">
        <v>52000</v>
      </c>
    </row>
    <row r="55" spans="2:149" x14ac:dyDescent="0.2">
      <c r="B55" s="1" t="s">
        <v>12</v>
      </c>
      <c r="P55" s="1">
        <f t="shared" ref="P55:U55" si="117">P43*(P48/1000000)</f>
        <v>85944.896381788538</v>
      </c>
      <c r="Q55" s="1">
        <f t="shared" si="117"/>
        <v>112845.64894928834</v>
      </c>
      <c r="R55" s="1">
        <f t="shared" si="117"/>
        <v>136768.92652653749</v>
      </c>
      <c r="S55" s="1">
        <f t="shared" si="117"/>
        <v>151950.27737098315</v>
      </c>
      <c r="T55" s="1">
        <f t="shared" si="117"/>
        <v>161143.26915192767</v>
      </c>
      <c r="U55" s="1">
        <f t="shared" si="117"/>
        <v>170892.43693561928</v>
      </c>
      <c r="V55" s="1">
        <f t="shared" ref="V55:Y55" si="118">V43*(V48/1000000)</f>
        <v>181231.42937022427</v>
      </c>
      <c r="W55" s="1">
        <f t="shared" si="118"/>
        <v>192195.93084712286</v>
      </c>
      <c r="X55" s="1">
        <f t="shared" si="118"/>
        <v>203823.78466337378</v>
      </c>
      <c r="Y55" s="1">
        <f t="shared" si="118"/>
        <v>216155.12363550789</v>
      </c>
    </row>
    <row r="56" spans="2:149" x14ac:dyDescent="0.2">
      <c r="B56" s="1" t="s">
        <v>45</v>
      </c>
      <c r="P56" s="1">
        <f t="shared" ref="P56:U56" si="119">P44*(P49/1000000)</f>
        <v>9750</v>
      </c>
      <c r="Q56" s="1">
        <f t="shared" si="119"/>
        <v>10832.25</v>
      </c>
      <c r="R56" s="1">
        <f t="shared" si="119"/>
        <v>12034.629750000002</v>
      </c>
      <c r="S56" s="1">
        <f t="shared" si="119"/>
        <v>13370.473652250006</v>
      </c>
      <c r="T56" s="1">
        <f t="shared" si="119"/>
        <v>14854.596227649754</v>
      </c>
      <c r="U56" s="1">
        <f t="shared" si="119"/>
        <v>16503.456408918879</v>
      </c>
      <c r="V56" s="1">
        <f t="shared" ref="V56:Y56" si="120">V44*(V49/1000000)</f>
        <v>18335.340070308877</v>
      </c>
      <c r="W56" s="1">
        <f t="shared" si="120"/>
        <v>20370.562818113161</v>
      </c>
      <c r="X56" s="1">
        <f t="shared" si="120"/>
        <v>22631.695290923726</v>
      </c>
      <c r="Y56" s="1">
        <f t="shared" si="120"/>
        <v>25143.813468216256</v>
      </c>
    </row>
    <row r="57" spans="2:149" x14ac:dyDescent="0.2">
      <c r="B57" s="1" t="s">
        <v>46</v>
      </c>
      <c r="P57" s="1">
        <f t="shared" ref="P57:U57" si="121">P45*(P50/1000000)</f>
        <v>1500</v>
      </c>
      <c r="Q57" s="1">
        <f t="shared" si="121"/>
        <v>3030</v>
      </c>
      <c r="R57" s="1">
        <f t="shared" si="121"/>
        <v>6120.6</v>
      </c>
      <c r="S57" s="1">
        <f t="shared" si="121"/>
        <v>8654.5284000000011</v>
      </c>
      <c r="T57" s="1">
        <f t="shared" si="121"/>
        <v>12237.5031576</v>
      </c>
      <c r="U57" s="1">
        <f t="shared" si="121"/>
        <v>17303.8294648464</v>
      </c>
      <c r="V57" s="1">
        <f t="shared" ref="V57:Y57" si="122">V45*(V50/1000000)</f>
        <v>24467.614863292809</v>
      </c>
      <c r="W57" s="1">
        <f t="shared" si="122"/>
        <v>34597.20741669603</v>
      </c>
      <c r="X57" s="1">
        <f t="shared" si="122"/>
        <v>48920.45128720819</v>
      </c>
      <c r="Y57" s="1">
        <f t="shared" si="122"/>
        <v>69173.518120112363</v>
      </c>
      <c r="Z57" s="1">
        <f t="shared" ref="Z57:BE57" si="123">Y57*(1+$AB$48)</f>
        <v>69865.253301313482</v>
      </c>
      <c r="AA57" s="1">
        <f t="shared" si="123"/>
        <v>70563.905834326622</v>
      </c>
      <c r="AB57" s="1">
        <f t="shared" si="123"/>
        <v>71269.544892669888</v>
      </c>
      <c r="AC57" s="1">
        <f t="shared" si="123"/>
        <v>71982.240341596582</v>
      </c>
      <c r="AD57" s="1">
        <f t="shared" si="123"/>
        <v>72702.062745012547</v>
      </c>
      <c r="AE57" s="1">
        <f t="shared" si="123"/>
        <v>73429.083372462672</v>
      </c>
      <c r="AF57" s="1">
        <f t="shared" si="123"/>
        <v>74163.374206187305</v>
      </c>
      <c r="AG57" s="1">
        <f t="shared" si="123"/>
        <v>74905.007948249186</v>
      </c>
      <c r="AH57" s="1">
        <f t="shared" si="123"/>
        <v>75654.058027731677</v>
      </c>
      <c r="AI57" s="1">
        <f t="shared" si="123"/>
        <v>76410.598608008993</v>
      </c>
      <c r="AJ57" s="1">
        <f t="shared" si="123"/>
        <v>77174.704594089082</v>
      </c>
      <c r="AK57" s="1">
        <f t="shared" si="123"/>
        <v>77946.451640029976</v>
      </c>
      <c r="AL57" s="1">
        <f t="shared" si="123"/>
        <v>78725.916156430278</v>
      </c>
      <c r="AM57" s="1">
        <f t="shared" si="123"/>
        <v>79513.175317994581</v>
      </c>
      <c r="AN57" s="1">
        <f t="shared" si="123"/>
        <v>80308.307071174524</v>
      </c>
      <c r="AO57" s="1">
        <f t="shared" si="123"/>
        <v>81111.390141886266</v>
      </c>
      <c r="AP57" s="1">
        <f t="shared" si="123"/>
        <v>81922.504043305133</v>
      </c>
      <c r="AQ57" s="1">
        <f t="shared" si="123"/>
        <v>82741.729083738188</v>
      </c>
      <c r="AR57" s="1">
        <f t="shared" si="123"/>
        <v>83569.146374575575</v>
      </c>
      <c r="AS57" s="1">
        <f t="shared" si="123"/>
        <v>84404.837838321328</v>
      </c>
      <c r="AT57" s="1">
        <f t="shared" si="123"/>
        <v>85248.886216704544</v>
      </c>
      <c r="AU57" s="1">
        <f t="shared" si="123"/>
        <v>86101.375078871584</v>
      </c>
      <c r="AV57" s="1">
        <f t="shared" si="123"/>
        <v>86962.388829660296</v>
      </c>
      <c r="AW57" s="1">
        <f t="shared" si="123"/>
        <v>87832.012717956895</v>
      </c>
      <c r="AX57" s="1">
        <f t="shared" si="123"/>
        <v>88710.332845136465</v>
      </c>
      <c r="AY57" s="1">
        <f t="shared" si="123"/>
        <v>89597.436173587834</v>
      </c>
      <c r="AZ57" s="1">
        <f t="shared" si="123"/>
        <v>90493.41053532371</v>
      </c>
      <c r="BA57" s="1">
        <f t="shared" si="123"/>
        <v>91398.344640676951</v>
      </c>
      <c r="BB57" s="1">
        <f t="shared" si="123"/>
        <v>92312.328087083719</v>
      </c>
      <c r="BC57" s="1">
        <f t="shared" si="123"/>
        <v>93235.451367954563</v>
      </c>
      <c r="BD57" s="1">
        <f t="shared" si="123"/>
        <v>94167.805881634107</v>
      </c>
      <c r="BE57" s="1">
        <f t="shared" si="123"/>
        <v>95109.483940450446</v>
      </c>
      <c r="BF57" s="1">
        <f t="shared" ref="BF57:CK57" si="124">BE57*(1+$AB$48)</f>
        <v>96060.578779854957</v>
      </c>
      <c r="BG57" s="1">
        <f t="shared" si="124"/>
        <v>97021.184567653501</v>
      </c>
      <c r="BH57" s="1">
        <f t="shared" si="124"/>
        <v>97991.396413330032</v>
      </c>
      <c r="BI57" s="1">
        <f t="shared" si="124"/>
        <v>98971.310377463335</v>
      </c>
      <c r="BJ57" s="1">
        <f t="shared" si="124"/>
        <v>99961.023481237964</v>
      </c>
      <c r="BK57" s="1">
        <f t="shared" si="124"/>
        <v>100960.63371605035</v>
      </c>
      <c r="BL57" s="1">
        <f t="shared" si="124"/>
        <v>101970.24005321084</v>
      </c>
      <c r="BM57" s="1">
        <f t="shared" si="124"/>
        <v>102989.94245374296</v>
      </c>
      <c r="BN57" s="1">
        <f t="shared" si="124"/>
        <v>104019.84187828039</v>
      </c>
      <c r="BO57" s="1">
        <f t="shared" si="124"/>
        <v>105060.0402970632</v>
      </c>
      <c r="BP57" s="1">
        <f t="shared" si="124"/>
        <v>106110.64070003384</v>
      </c>
      <c r="BQ57" s="1">
        <f t="shared" si="124"/>
        <v>107171.74710703417</v>
      </c>
      <c r="BR57" s="1">
        <f t="shared" si="124"/>
        <v>108243.46457810451</v>
      </c>
      <c r="BS57" s="1">
        <f t="shared" si="124"/>
        <v>109325.89922388556</v>
      </c>
      <c r="BT57" s="1">
        <f t="shared" si="124"/>
        <v>110419.15821612442</v>
      </c>
      <c r="BU57" s="1">
        <f t="shared" si="124"/>
        <v>111523.34979828566</v>
      </c>
      <c r="BV57" s="1">
        <f t="shared" si="124"/>
        <v>112638.58329626852</v>
      </c>
      <c r="BW57" s="1">
        <f t="shared" si="124"/>
        <v>113764.96912923121</v>
      </c>
      <c r="BX57" s="1">
        <f t="shared" si="124"/>
        <v>114902.61882052352</v>
      </c>
      <c r="BY57" s="1">
        <f t="shared" si="124"/>
        <v>116051.64500872875</v>
      </c>
      <c r="BZ57" s="1">
        <f t="shared" si="124"/>
        <v>117212.16145881604</v>
      </c>
      <c r="CA57" s="1">
        <f t="shared" si="124"/>
        <v>118384.28307340421</v>
      </c>
      <c r="CB57" s="1">
        <f t="shared" si="124"/>
        <v>119568.12590413824</v>
      </c>
      <c r="CC57" s="1">
        <f t="shared" si="124"/>
        <v>120763.80716317963</v>
      </c>
      <c r="CD57" s="1">
        <f t="shared" si="124"/>
        <v>121971.44523481143</v>
      </c>
      <c r="CE57" s="1">
        <f t="shared" si="124"/>
        <v>123191.15968715954</v>
      </c>
      <c r="CF57" s="1">
        <f t="shared" si="124"/>
        <v>124423.07128403113</v>
      </c>
      <c r="CG57" s="1">
        <f t="shared" si="124"/>
        <v>125667.30199687145</v>
      </c>
      <c r="CH57" s="1">
        <f t="shared" si="124"/>
        <v>126923.97501684017</v>
      </c>
      <c r="CI57" s="1">
        <f t="shared" si="124"/>
        <v>128193.21476700857</v>
      </c>
      <c r="CJ57" s="1">
        <f t="shared" si="124"/>
        <v>129475.14691467865</v>
      </c>
      <c r="CK57" s="1">
        <f t="shared" si="124"/>
        <v>130769.89838382544</v>
      </c>
      <c r="CL57" s="1">
        <f t="shared" ref="CL57:DQ57" si="125">CK57*(1+$AB$48)</f>
        <v>132077.59736766369</v>
      </c>
      <c r="CM57" s="1">
        <f t="shared" si="125"/>
        <v>133398.37334134034</v>
      </c>
      <c r="CN57" s="1">
        <f t="shared" si="125"/>
        <v>134732.35707475373</v>
      </c>
      <c r="CO57" s="1">
        <f t="shared" si="125"/>
        <v>136079.68064550127</v>
      </c>
      <c r="CP57" s="1">
        <f t="shared" si="125"/>
        <v>137440.47745195628</v>
      </c>
      <c r="CQ57" s="1">
        <f t="shared" si="125"/>
        <v>138814.88222647583</v>
      </c>
      <c r="CR57" s="1">
        <f t="shared" si="125"/>
        <v>140203.03104874058</v>
      </c>
      <c r="CS57" s="1">
        <f t="shared" si="125"/>
        <v>141605.06135922798</v>
      </c>
      <c r="CT57" s="1">
        <f t="shared" si="125"/>
        <v>143021.11197282028</v>
      </c>
      <c r="CU57" s="1">
        <f t="shared" si="125"/>
        <v>144451.32309254847</v>
      </c>
      <c r="CV57" s="1">
        <f t="shared" si="125"/>
        <v>145895.83632347395</v>
      </c>
      <c r="CW57" s="1">
        <f t="shared" si="125"/>
        <v>147354.79468670869</v>
      </c>
      <c r="CX57" s="1">
        <f t="shared" si="125"/>
        <v>148828.34263357578</v>
      </c>
      <c r="CY57" s="1">
        <f t="shared" si="125"/>
        <v>150316.62605991153</v>
      </c>
      <c r="CZ57" s="1">
        <f t="shared" si="125"/>
        <v>151819.79232051066</v>
      </c>
      <c r="DA57" s="1">
        <f t="shared" si="125"/>
        <v>153337.99024371576</v>
      </c>
      <c r="DB57" s="1">
        <f t="shared" si="125"/>
        <v>154871.37014615291</v>
      </c>
      <c r="DC57" s="1">
        <f t="shared" si="125"/>
        <v>156420.08384761444</v>
      </c>
      <c r="DD57" s="1">
        <f t="shared" si="125"/>
        <v>157984.2846860906</v>
      </c>
      <c r="DE57" s="1">
        <f t="shared" si="125"/>
        <v>159564.1275329515</v>
      </c>
      <c r="DF57" s="1">
        <f t="shared" si="125"/>
        <v>161159.76880828102</v>
      </c>
      <c r="DG57" s="1">
        <f t="shared" si="125"/>
        <v>162771.36649636383</v>
      </c>
      <c r="DH57" s="1">
        <f t="shared" si="125"/>
        <v>164399.08016132747</v>
      </c>
      <c r="DI57" s="1">
        <f t="shared" si="125"/>
        <v>166043.07096294075</v>
      </c>
      <c r="DJ57" s="1">
        <f t="shared" si="125"/>
        <v>167703.50167257016</v>
      </c>
      <c r="DK57" s="1">
        <f t="shared" si="125"/>
        <v>169380.53668929587</v>
      </c>
      <c r="DL57" s="1">
        <f t="shared" si="125"/>
        <v>171074.34205618882</v>
      </c>
      <c r="DM57" s="1">
        <f t="shared" si="125"/>
        <v>172785.08547675071</v>
      </c>
      <c r="DN57" s="1">
        <f t="shared" si="125"/>
        <v>174512.93633151823</v>
      </c>
      <c r="DO57" s="1">
        <f t="shared" si="125"/>
        <v>176258.06569483341</v>
      </c>
      <c r="DP57" s="1">
        <f t="shared" si="125"/>
        <v>178020.64635178173</v>
      </c>
      <c r="DQ57" s="1">
        <f t="shared" si="125"/>
        <v>179800.85281529956</v>
      </c>
      <c r="DR57" s="1">
        <f t="shared" ref="DR57:ES57" si="126">DQ57*(1+$AB$48)</f>
        <v>181598.86134345256</v>
      </c>
      <c r="DS57" s="1">
        <f t="shared" si="126"/>
        <v>183414.84995688708</v>
      </c>
      <c r="DT57" s="1">
        <f t="shared" si="126"/>
        <v>185248.99845645594</v>
      </c>
      <c r="DU57" s="1">
        <f t="shared" si="126"/>
        <v>187101.48844102051</v>
      </c>
      <c r="DV57" s="1">
        <f t="shared" si="126"/>
        <v>188972.50332543071</v>
      </c>
      <c r="DW57" s="1">
        <f t="shared" si="126"/>
        <v>190862.22835868501</v>
      </c>
      <c r="DX57" s="1">
        <f t="shared" si="126"/>
        <v>192770.85064227186</v>
      </c>
      <c r="DY57" s="1">
        <f t="shared" si="126"/>
        <v>194698.55914869459</v>
      </c>
      <c r="DZ57" s="1">
        <f t="shared" si="126"/>
        <v>196645.54474018153</v>
      </c>
      <c r="EA57" s="1">
        <f t="shared" si="126"/>
        <v>198612.00018758336</v>
      </c>
      <c r="EB57" s="1">
        <f t="shared" si="126"/>
        <v>200598.12018945918</v>
      </c>
      <c r="EC57" s="1">
        <f t="shared" si="126"/>
        <v>202604.10139135376</v>
      </c>
      <c r="ED57" s="1">
        <f t="shared" si="126"/>
        <v>204630.14240526731</v>
      </c>
      <c r="EE57" s="1">
        <f t="shared" si="126"/>
        <v>206676.44382931999</v>
      </c>
      <c r="EF57" s="1">
        <f t="shared" si="126"/>
        <v>208743.2082676132</v>
      </c>
      <c r="EG57" s="1">
        <f t="shared" si="126"/>
        <v>210830.64035028932</v>
      </c>
      <c r="EH57" s="1">
        <f t="shared" si="126"/>
        <v>212938.94675379223</v>
      </c>
      <c r="EI57" s="1">
        <f t="shared" si="126"/>
        <v>215068.33622133016</v>
      </c>
      <c r="EJ57" s="1">
        <f t="shared" si="126"/>
        <v>217219.01958354347</v>
      </c>
      <c r="EK57" s="1">
        <f t="shared" si="126"/>
        <v>219391.2097793789</v>
      </c>
      <c r="EL57" s="1">
        <f t="shared" si="126"/>
        <v>221585.1218771727</v>
      </c>
      <c r="EM57" s="1">
        <f t="shared" si="126"/>
        <v>223800.97309594444</v>
      </c>
      <c r="EN57" s="1">
        <f t="shared" si="126"/>
        <v>226038.9828269039</v>
      </c>
      <c r="EO57" s="1">
        <f t="shared" si="126"/>
        <v>228299.37265517295</v>
      </c>
      <c r="EP57" s="1">
        <f t="shared" si="126"/>
        <v>230582.36638172469</v>
      </c>
      <c r="EQ57" s="1">
        <f t="shared" si="126"/>
        <v>232888.19004554194</v>
      </c>
      <c r="ER57" s="1">
        <f t="shared" si="126"/>
        <v>235217.07194599736</v>
      </c>
      <c r="ES57" s="1">
        <f t="shared" si="126"/>
        <v>237569.24266545734</v>
      </c>
    </row>
    <row r="58" spans="2:149" x14ac:dyDescent="0.2">
      <c r="B58" s="1" t="s">
        <v>47</v>
      </c>
      <c r="P58" s="1">
        <f t="shared" ref="P58:U58" si="127">P46*(P51/1000000)</f>
        <v>0</v>
      </c>
      <c r="Q58" s="1">
        <f t="shared" si="127"/>
        <v>8332.5</v>
      </c>
      <c r="R58" s="1">
        <f t="shared" si="127"/>
        <v>9257.4075000000012</v>
      </c>
      <c r="S58" s="1">
        <f t="shared" si="127"/>
        <v>10284.979732500004</v>
      </c>
      <c r="T58" s="1">
        <f t="shared" si="127"/>
        <v>11426.612482807504</v>
      </c>
      <c r="U58" s="1">
        <f t="shared" si="127"/>
        <v>12694.96646839914</v>
      </c>
      <c r="V58" s="1">
        <f t="shared" ref="V58:Y58" si="128">V46*(V51/1000000)</f>
        <v>14104.107746391446</v>
      </c>
      <c r="W58" s="1">
        <f t="shared" si="128"/>
        <v>15669.663706240897</v>
      </c>
      <c r="X58" s="1">
        <f t="shared" si="128"/>
        <v>17408.996377633637</v>
      </c>
      <c r="Y58" s="1">
        <f t="shared" si="128"/>
        <v>19341.394975550975</v>
      </c>
    </row>
    <row r="60" spans="2:149" x14ac:dyDescent="0.2">
      <c r="B60" s="3" t="s">
        <v>59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f>AB79</f>
        <v>34142.887863654629</v>
      </c>
      <c r="Q60" s="3"/>
      <c r="R60" s="3"/>
      <c r="S60" s="3"/>
      <c r="U60" s="3"/>
      <c r="V60" s="3"/>
      <c r="W60" s="3"/>
      <c r="X60" s="3"/>
      <c r="Y60" s="3"/>
    </row>
    <row r="61" spans="2:149" x14ac:dyDescent="0.2">
      <c r="B61" s="3" t="s">
        <v>58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>
        <f>AB72</f>
        <v>153955.16599192735</v>
      </c>
      <c r="Q61" s="3"/>
      <c r="R61" s="3"/>
      <c r="S61" s="3"/>
      <c r="U61" s="3"/>
      <c r="V61" s="3"/>
      <c r="W61" s="3"/>
      <c r="X61" s="3"/>
      <c r="Y61" s="3"/>
    </row>
    <row r="62" spans="2:149" x14ac:dyDescent="0.2">
      <c r="B62" s="1" t="s">
        <v>55</v>
      </c>
      <c r="P62" s="1">
        <f t="shared" ref="P62:U62" si="129">(8000*SUM(P43:P46)*P67)/1000000</f>
        <v>3909.12</v>
      </c>
      <c r="Q62" s="1">
        <f t="shared" si="129"/>
        <v>6224.9471999999996</v>
      </c>
      <c r="R62" s="1">
        <f t="shared" si="129"/>
        <v>9125.6647679999987</v>
      </c>
      <c r="S62" s="1">
        <f t="shared" si="129"/>
        <v>12244.943093760001</v>
      </c>
      <c r="T62" s="1">
        <f t="shared" si="129"/>
        <v>15870.5837899776</v>
      </c>
      <c r="U62" s="1">
        <f t="shared" si="129"/>
        <v>18994.046052630529</v>
      </c>
      <c r="V62" s="1">
        <f t="shared" ref="V62:Y62" si="130">(8000*SUM(V43:V46)*V67)/1000000</f>
        <v>21896.574199606152</v>
      </c>
      <c r="W62" s="1">
        <f t="shared" si="130"/>
        <v>25522.963478806698</v>
      </c>
      <c r="X62" s="1">
        <f t="shared" si="130"/>
        <v>30144.261395133766</v>
      </c>
      <c r="Y62" s="1">
        <f t="shared" si="130"/>
        <v>36151.270416528561</v>
      </c>
    </row>
    <row r="63" spans="2:149" x14ac:dyDescent="0.2">
      <c r="B63" s="1" t="s">
        <v>54</v>
      </c>
      <c r="P63" s="1">
        <f>((99*P52)/(1000000))*P68</f>
        <v>39.322800000000001</v>
      </c>
      <c r="Q63" s="1">
        <f t="shared" ref="Q63:U63" si="131">((99*Q52)/(1000000))*Q68</f>
        <v>61.818767999999992</v>
      </c>
      <c r="R63" s="1">
        <f t="shared" si="131"/>
        <v>88.406017919999996</v>
      </c>
      <c r="S63" s="1">
        <f t="shared" si="131"/>
        <v>116.69594365440001</v>
      </c>
      <c r="T63" s="1">
        <f t="shared" si="131"/>
        <v>147.570941574144</v>
      </c>
      <c r="U63" s="1">
        <f t="shared" si="131"/>
        <v>171.09064112735234</v>
      </c>
      <c r="V63" s="1">
        <f t="shared" ref="V63:Y63" si="132">((99*V52)/(1000000))*V68</f>
        <v>189.37379701155047</v>
      </c>
      <c r="W63" s="1">
        <f t="shared" si="132"/>
        <v>209.64666297501881</v>
      </c>
      <c r="X63" s="1">
        <f t="shared" si="132"/>
        <v>232.13111572405921</v>
      </c>
      <c r="Y63" s="1">
        <f t="shared" si="132"/>
        <v>257.0745536979619</v>
      </c>
    </row>
    <row r="64" spans="2:149" x14ac:dyDescent="0.2">
      <c r="B64" s="1" t="s">
        <v>57</v>
      </c>
      <c r="P64" s="1">
        <f>SUM(P62:P63)</f>
        <v>3948.4427999999998</v>
      </c>
      <c r="Q64" s="1">
        <f t="shared" ref="Q64:T64" si="133">SUM(Q62:Q63)</f>
        <v>6286.7659679999997</v>
      </c>
      <c r="R64" s="1">
        <f t="shared" si="133"/>
        <v>9214.0707859199993</v>
      </c>
      <c r="S64" s="1">
        <f t="shared" si="133"/>
        <v>12361.639037414401</v>
      </c>
      <c r="T64" s="1">
        <f t="shared" si="133"/>
        <v>16018.154731551744</v>
      </c>
      <c r="U64" s="1">
        <f t="shared" ref="U64:Y64" si="134">SUM(U62:U63)</f>
        <v>19165.136693757882</v>
      </c>
      <c r="V64" s="1">
        <f t="shared" si="134"/>
        <v>22085.947996617702</v>
      </c>
      <c r="W64" s="1">
        <f t="shared" si="134"/>
        <v>25732.610141781715</v>
      </c>
      <c r="X64" s="1">
        <f t="shared" si="134"/>
        <v>30376.392510857826</v>
      </c>
      <c r="Y64" s="1">
        <f t="shared" si="134"/>
        <v>36408.344970226521</v>
      </c>
    </row>
    <row r="65" spans="2:145" x14ac:dyDescent="0.2">
      <c r="B65" s="1" t="s">
        <v>63</v>
      </c>
      <c r="P65" s="1">
        <f>P64*P69</f>
        <v>3158.7542400000002</v>
      </c>
      <c r="Q65" s="1">
        <f t="shared" ref="Q65:U65" si="135">Q64*Q69</f>
        <v>5029.4127743999998</v>
      </c>
      <c r="R65" s="1">
        <f t="shared" si="135"/>
        <v>7371.2566287359996</v>
      </c>
      <c r="S65" s="1">
        <f t="shared" si="135"/>
        <v>9889.3112299315217</v>
      </c>
      <c r="T65" s="1">
        <f t="shared" si="135"/>
        <v>12814.523785241396</v>
      </c>
      <c r="U65" s="1">
        <f t="shared" si="135"/>
        <v>15332.109355006307</v>
      </c>
      <c r="V65" s="1">
        <f t="shared" ref="V65:Y65" si="136">V64*V69</f>
        <v>17668.758397294161</v>
      </c>
      <c r="W65" s="1">
        <f t="shared" si="136"/>
        <v>20586.088113425372</v>
      </c>
      <c r="X65" s="1">
        <f t="shared" si="136"/>
        <v>24301.114008686262</v>
      </c>
      <c r="Y65" s="1">
        <f t="shared" si="136"/>
        <v>29126.675976181217</v>
      </c>
      <c r="Z65" s="1">
        <f t="shared" ref="Z65:BE65" si="137">Y65*(1+$AB$70)</f>
        <v>29417.94273594303</v>
      </c>
      <c r="AA65" s="1">
        <f t="shared" si="137"/>
        <v>29712.122163302462</v>
      </c>
      <c r="AB65" s="1">
        <f t="shared" si="137"/>
        <v>30009.243384935486</v>
      </c>
      <c r="AC65" s="1">
        <f t="shared" si="137"/>
        <v>30309.335818784843</v>
      </c>
      <c r="AD65" s="1">
        <f t="shared" si="137"/>
        <v>30612.429176972691</v>
      </c>
      <c r="AE65" s="1">
        <f t="shared" si="137"/>
        <v>30918.553468742419</v>
      </c>
      <c r="AF65" s="1">
        <f t="shared" si="137"/>
        <v>31227.739003429844</v>
      </c>
      <c r="AG65" s="1">
        <f t="shared" si="137"/>
        <v>31540.016393464142</v>
      </c>
      <c r="AH65" s="1">
        <f t="shared" si="137"/>
        <v>31855.416557398785</v>
      </c>
      <c r="AI65" s="1">
        <f t="shared" si="137"/>
        <v>32173.970722972772</v>
      </c>
      <c r="AJ65" s="1">
        <f t="shared" si="137"/>
        <v>32495.7104302025</v>
      </c>
      <c r="AK65" s="1">
        <f t="shared" si="137"/>
        <v>32820.667534504522</v>
      </c>
      <c r="AL65" s="1">
        <f t="shared" si="137"/>
        <v>33148.874209849571</v>
      </c>
      <c r="AM65" s="1">
        <f t="shared" si="137"/>
        <v>33480.362951948067</v>
      </c>
      <c r="AN65" s="1">
        <f t="shared" si="137"/>
        <v>33815.166581467551</v>
      </c>
      <c r="AO65" s="1">
        <f t="shared" si="137"/>
        <v>34153.31824728223</v>
      </c>
      <c r="AP65" s="1">
        <f t="shared" si="137"/>
        <v>34494.85142975505</v>
      </c>
      <c r="AQ65" s="1">
        <f t="shared" si="137"/>
        <v>34839.799944052604</v>
      </c>
      <c r="AR65" s="1">
        <f t="shared" si="137"/>
        <v>35188.197943493127</v>
      </c>
      <c r="AS65" s="1">
        <f t="shared" si="137"/>
        <v>35540.07992292806</v>
      </c>
      <c r="AT65" s="1">
        <f t="shared" si="137"/>
        <v>35895.480722157343</v>
      </c>
      <c r="AU65" s="1">
        <f t="shared" si="137"/>
        <v>36254.435529378919</v>
      </c>
      <c r="AV65" s="1">
        <f t="shared" si="137"/>
        <v>36616.979884672706</v>
      </c>
      <c r="AW65" s="1">
        <f t="shared" si="137"/>
        <v>36983.149683519434</v>
      </c>
      <c r="AX65" s="1">
        <f t="shared" si="137"/>
        <v>37352.981180354625</v>
      </c>
      <c r="AY65" s="1">
        <f t="shared" si="137"/>
        <v>37726.510992158175</v>
      </c>
      <c r="AZ65" s="1">
        <f t="shared" si="137"/>
        <v>38103.776102079755</v>
      </c>
      <c r="BA65" s="1">
        <f t="shared" si="137"/>
        <v>38484.813863100549</v>
      </c>
      <c r="BB65" s="1">
        <f t="shared" si="137"/>
        <v>38869.662001731558</v>
      </c>
      <c r="BC65" s="1">
        <f t="shared" si="137"/>
        <v>39258.358621748877</v>
      </c>
      <c r="BD65" s="1">
        <f t="shared" si="137"/>
        <v>39650.942207966364</v>
      </c>
      <c r="BE65" s="1">
        <f t="shared" si="137"/>
        <v>40047.451630046031</v>
      </c>
      <c r="BF65" s="1">
        <f t="shared" ref="BF65:CK65" si="138">BE65*(1+$AB$70)</f>
        <v>40447.926146346494</v>
      </c>
      <c r="BG65" s="1">
        <f t="shared" si="138"/>
        <v>40852.405407809958</v>
      </c>
      <c r="BH65" s="1">
        <f t="shared" si="138"/>
        <v>41260.929461888059</v>
      </c>
      <c r="BI65" s="1">
        <f t="shared" si="138"/>
        <v>41673.53875650694</v>
      </c>
      <c r="BJ65" s="1">
        <f t="shared" si="138"/>
        <v>42090.274144072013</v>
      </c>
      <c r="BK65" s="1">
        <f t="shared" si="138"/>
        <v>42511.17688551273</v>
      </c>
      <c r="BL65" s="1">
        <f t="shared" si="138"/>
        <v>42936.288654367861</v>
      </c>
      <c r="BM65" s="1">
        <f t="shared" si="138"/>
        <v>43365.651540911538</v>
      </c>
      <c r="BN65" s="1">
        <f t="shared" si="138"/>
        <v>43799.308056320653</v>
      </c>
      <c r="BO65" s="1">
        <f t="shared" si="138"/>
        <v>44237.301136883863</v>
      </c>
      <c r="BP65" s="1">
        <f t="shared" si="138"/>
        <v>44679.6741482527</v>
      </c>
      <c r="BQ65" s="1">
        <f t="shared" si="138"/>
        <v>45126.470889735225</v>
      </c>
      <c r="BR65" s="1">
        <f t="shared" si="138"/>
        <v>45577.735598632578</v>
      </c>
      <c r="BS65" s="1">
        <f t="shared" si="138"/>
        <v>46033.512954618905</v>
      </c>
      <c r="BT65" s="1">
        <f t="shared" si="138"/>
        <v>46493.848084165096</v>
      </c>
      <c r="BU65" s="1">
        <f t="shared" si="138"/>
        <v>46958.786565006747</v>
      </c>
      <c r="BV65" s="1">
        <f t="shared" si="138"/>
        <v>47428.374430656811</v>
      </c>
      <c r="BW65" s="1">
        <f t="shared" si="138"/>
        <v>47902.658174963377</v>
      </c>
      <c r="BX65" s="1">
        <f t="shared" si="138"/>
        <v>48381.68475671301</v>
      </c>
      <c r="BY65" s="1">
        <f t="shared" si="138"/>
        <v>48865.501604280144</v>
      </c>
      <c r="BZ65" s="1">
        <f t="shared" si="138"/>
        <v>49354.156620322945</v>
      </c>
      <c r="CA65" s="1">
        <f t="shared" si="138"/>
        <v>49847.698186526177</v>
      </c>
      <c r="CB65" s="1">
        <f t="shared" si="138"/>
        <v>50346.175168391441</v>
      </c>
      <c r="CC65" s="1">
        <f t="shared" si="138"/>
        <v>50849.636920075354</v>
      </c>
      <c r="CD65" s="1">
        <f t="shared" si="138"/>
        <v>51358.133289276106</v>
      </c>
      <c r="CE65" s="1">
        <f t="shared" si="138"/>
        <v>51871.714622168867</v>
      </c>
      <c r="CF65" s="1">
        <f t="shared" si="138"/>
        <v>52390.431768390554</v>
      </c>
      <c r="CG65" s="1">
        <f t="shared" si="138"/>
        <v>52914.336086074458</v>
      </c>
      <c r="CH65" s="1">
        <f t="shared" si="138"/>
        <v>53443.479446935205</v>
      </c>
      <c r="CI65" s="1">
        <f t="shared" si="138"/>
        <v>53977.914241404556</v>
      </c>
      <c r="CJ65" s="1">
        <f t="shared" si="138"/>
        <v>54517.693383818601</v>
      </c>
      <c r="CK65" s="1">
        <f t="shared" si="138"/>
        <v>55062.870317656787</v>
      </c>
      <c r="CL65" s="1">
        <f t="shared" ref="CL65:DQ65" si="139">CK65*(1+$AB$70)</f>
        <v>55613.499020833355</v>
      </c>
      <c r="CM65" s="1">
        <f t="shared" si="139"/>
        <v>56169.634011041686</v>
      </c>
      <c r="CN65" s="1">
        <f t="shared" si="139"/>
        <v>56731.330351152101</v>
      </c>
      <c r="CO65" s="1">
        <f t="shared" si="139"/>
        <v>57298.643654663625</v>
      </c>
      <c r="CP65" s="1">
        <f t="shared" si="139"/>
        <v>57871.63009121026</v>
      </c>
      <c r="CQ65" s="1">
        <f t="shared" si="139"/>
        <v>58450.346392122359</v>
      </c>
      <c r="CR65" s="1">
        <f t="shared" si="139"/>
        <v>59034.849856043584</v>
      </c>
      <c r="CS65" s="1">
        <f t="shared" si="139"/>
        <v>59625.198354604021</v>
      </c>
      <c r="CT65" s="1">
        <f t="shared" si="139"/>
        <v>60221.450338150062</v>
      </c>
      <c r="CU65" s="1">
        <f t="shared" si="139"/>
        <v>60823.664841531565</v>
      </c>
      <c r="CV65" s="1">
        <f t="shared" si="139"/>
        <v>61431.901489946882</v>
      </c>
      <c r="CW65" s="1">
        <f t="shared" si="139"/>
        <v>62046.220504846351</v>
      </c>
      <c r="CX65" s="1">
        <f t="shared" si="139"/>
        <v>62666.682709894812</v>
      </c>
      <c r="CY65" s="1">
        <f t="shared" si="139"/>
        <v>63293.349536993759</v>
      </c>
      <c r="CZ65" s="1">
        <f t="shared" si="139"/>
        <v>63926.283032363695</v>
      </c>
      <c r="DA65" s="1">
        <f t="shared" si="139"/>
        <v>64565.54586268733</v>
      </c>
      <c r="DB65" s="1">
        <f t="shared" si="139"/>
        <v>65211.201321314205</v>
      </c>
      <c r="DC65" s="1">
        <f t="shared" si="139"/>
        <v>65863.313334527353</v>
      </c>
      <c r="DD65" s="1">
        <f t="shared" si="139"/>
        <v>66521.946467872622</v>
      </c>
      <c r="DE65" s="1">
        <f t="shared" si="139"/>
        <v>67187.165932551346</v>
      </c>
      <c r="DF65" s="1">
        <f t="shared" si="139"/>
        <v>67859.037591876855</v>
      </c>
      <c r="DG65" s="1">
        <f t="shared" si="139"/>
        <v>68537.627967795619</v>
      </c>
      <c r="DH65" s="1">
        <f t="shared" si="139"/>
        <v>69223.004247473582</v>
      </c>
      <c r="DI65" s="1">
        <f t="shared" si="139"/>
        <v>69915.234289948319</v>
      </c>
      <c r="DJ65" s="1">
        <f t="shared" si="139"/>
        <v>70614.386632847803</v>
      </c>
      <c r="DK65" s="1">
        <f t="shared" si="139"/>
        <v>71320.530499176282</v>
      </c>
      <c r="DL65" s="1">
        <f t="shared" si="139"/>
        <v>72033.735804168042</v>
      </c>
      <c r="DM65" s="1">
        <f t="shared" si="139"/>
        <v>72754.073162209723</v>
      </c>
      <c r="DN65" s="1">
        <f t="shared" si="139"/>
        <v>73481.613893831818</v>
      </c>
      <c r="DO65" s="1">
        <f t="shared" si="139"/>
        <v>74216.430032770135</v>
      </c>
      <c r="DP65" s="1">
        <f t="shared" si="139"/>
        <v>74958.594333097833</v>
      </c>
      <c r="DQ65" s="1">
        <f t="shared" si="139"/>
        <v>75708.180276428815</v>
      </c>
      <c r="DR65" s="1">
        <f t="shared" ref="DR65:EN65" si="140">DQ65*(1+$AB$70)</f>
        <v>76465.262079193097</v>
      </c>
      <c r="DS65" s="1">
        <f t="shared" si="140"/>
        <v>77229.914699985035</v>
      </c>
      <c r="DT65" s="1">
        <f t="shared" si="140"/>
        <v>78002.213846984887</v>
      </c>
      <c r="DU65" s="1">
        <f t="shared" si="140"/>
        <v>78782.235985454739</v>
      </c>
      <c r="DV65" s="1">
        <f t="shared" si="140"/>
        <v>79570.058345309284</v>
      </c>
      <c r="DW65" s="1">
        <f t="shared" si="140"/>
        <v>80365.75892876237</v>
      </c>
      <c r="DX65" s="1">
        <f t="shared" si="140"/>
        <v>81169.416518049999</v>
      </c>
      <c r="DY65" s="1">
        <f t="shared" si="140"/>
        <v>81981.110683230494</v>
      </c>
      <c r="DZ65" s="1">
        <f t="shared" si="140"/>
        <v>82800.921790062799</v>
      </c>
      <c r="EA65" s="1">
        <f t="shared" si="140"/>
        <v>83628.931007963431</v>
      </c>
      <c r="EB65" s="1">
        <f t="shared" si="140"/>
        <v>84465.220318043066</v>
      </c>
      <c r="EC65" s="1">
        <f t="shared" si="140"/>
        <v>85309.8725212235</v>
      </c>
      <c r="ED65" s="1">
        <f t="shared" si="140"/>
        <v>86162.971246435729</v>
      </c>
      <c r="EE65" s="1">
        <f t="shared" si="140"/>
        <v>87024.60095890009</v>
      </c>
      <c r="EF65" s="1">
        <f t="shared" si="140"/>
        <v>87894.846968489088</v>
      </c>
      <c r="EG65" s="1">
        <f t="shared" si="140"/>
        <v>88773.795438173984</v>
      </c>
      <c r="EH65" s="1">
        <f t="shared" si="140"/>
        <v>89661.533392555721</v>
      </c>
      <c r="EI65" s="1">
        <f t="shared" si="140"/>
        <v>90558.148726481275</v>
      </c>
      <c r="EJ65" s="1">
        <f t="shared" si="140"/>
        <v>91463.730213746094</v>
      </c>
      <c r="EK65" s="1">
        <f t="shared" si="140"/>
        <v>92378.367515883554</v>
      </c>
      <c r="EL65" s="1">
        <f t="shared" si="140"/>
        <v>93302.151191042387</v>
      </c>
      <c r="EM65" s="1">
        <f t="shared" si="140"/>
        <v>94235.172702952812</v>
      </c>
      <c r="EN65" s="1">
        <f t="shared" si="140"/>
        <v>95177.524429982339</v>
      </c>
    </row>
    <row r="67" spans="2:145" x14ac:dyDescent="0.2">
      <c r="B67" s="1" t="s">
        <v>60</v>
      </c>
      <c r="P67" s="5">
        <v>0.24</v>
      </c>
      <c r="Q67" s="5">
        <f>P67*1.2</f>
        <v>0.28799999999999998</v>
      </c>
      <c r="R67" s="5">
        <f>Q67*1.2</f>
        <v>0.34559999999999996</v>
      </c>
      <c r="S67" s="5">
        <f t="shared" ref="S67:T67" si="141">R67*1.2</f>
        <v>0.41471999999999992</v>
      </c>
      <c r="T67" s="5">
        <f t="shared" si="141"/>
        <v>0.49766399999999988</v>
      </c>
      <c r="U67" s="5">
        <f>T67*1.1</f>
        <v>0.54743039999999987</v>
      </c>
      <c r="V67" s="5">
        <f>U67*1.05</f>
        <v>0.57480191999999986</v>
      </c>
      <c r="W67" s="5">
        <f t="shared" ref="W67:Y67" si="142">V67*1.05</f>
        <v>0.6035420159999999</v>
      </c>
      <c r="X67" s="5">
        <f t="shared" si="142"/>
        <v>0.63371911679999993</v>
      </c>
      <c r="Y67" s="5">
        <f t="shared" si="142"/>
        <v>0.66540507263999993</v>
      </c>
    </row>
    <row r="68" spans="2:145" x14ac:dyDescent="0.2">
      <c r="B68" s="1" t="s">
        <v>61</v>
      </c>
      <c r="P68" s="5">
        <v>0.2</v>
      </c>
      <c r="Q68" s="5">
        <f>P68*1.2</f>
        <v>0.24</v>
      </c>
      <c r="R68" s="5">
        <f>Q68*1.2</f>
        <v>0.28799999999999998</v>
      </c>
      <c r="S68" s="5">
        <f t="shared" ref="S68:T68" si="143">R68*1.2</f>
        <v>0.34559999999999996</v>
      </c>
      <c r="T68" s="5">
        <f t="shared" si="143"/>
        <v>0.41471999999999992</v>
      </c>
      <c r="U68" s="5">
        <f>T68*1.1</f>
        <v>0.45619199999999993</v>
      </c>
      <c r="V68" s="5">
        <f>U68*1.05</f>
        <v>0.47900159999999997</v>
      </c>
      <c r="W68" s="5">
        <f t="shared" ref="W68:Y68" si="144">V68*1.05</f>
        <v>0.50295168000000001</v>
      </c>
      <c r="X68" s="5">
        <f t="shared" si="144"/>
        <v>0.52809926400000007</v>
      </c>
      <c r="Y68" s="5">
        <f t="shared" si="144"/>
        <v>0.55450422720000014</v>
      </c>
    </row>
    <row r="69" spans="2:145" x14ac:dyDescent="0.2">
      <c r="B69" s="1" t="s">
        <v>62</v>
      </c>
      <c r="P69" s="5">
        <v>0.8</v>
      </c>
      <c r="Q69" s="5">
        <v>0.8</v>
      </c>
      <c r="R69" s="5">
        <v>0.8</v>
      </c>
      <c r="S69" s="5">
        <v>0.8</v>
      </c>
      <c r="T69" s="5">
        <v>0.8</v>
      </c>
      <c r="U69" s="5">
        <v>0.8</v>
      </c>
      <c r="V69" s="5">
        <v>0.8</v>
      </c>
      <c r="W69" s="5">
        <v>0.8</v>
      </c>
      <c r="X69" s="5">
        <v>0.8</v>
      </c>
      <c r="Y69" s="5">
        <v>0.8</v>
      </c>
    </row>
    <row r="70" spans="2:145" x14ac:dyDescent="0.2">
      <c r="AA70" s="1" t="s">
        <v>15</v>
      </c>
      <c r="AB70" s="5">
        <v>0.01</v>
      </c>
    </row>
    <row r="71" spans="2:145" x14ac:dyDescent="0.2">
      <c r="B71" s="1" t="s">
        <v>38</v>
      </c>
      <c r="P71" s="1">
        <v>5000</v>
      </c>
      <c r="Q71" s="1">
        <v>50000</v>
      </c>
      <c r="R71" s="1">
        <f>Q71*2</f>
        <v>100000</v>
      </c>
      <c r="S71" s="1">
        <f>R71*2</f>
        <v>200000</v>
      </c>
      <c r="T71" s="1">
        <f>S71*2</f>
        <v>400000</v>
      </c>
      <c r="U71" s="1">
        <f>T71*1.5</f>
        <v>600000</v>
      </c>
      <c r="V71" s="1">
        <f>U71*1.5</f>
        <v>900000</v>
      </c>
      <c r="W71" s="1">
        <f t="shared" ref="W71:Y71" si="145">V71*1.2</f>
        <v>1080000</v>
      </c>
      <c r="X71" s="1">
        <f t="shared" si="145"/>
        <v>1296000</v>
      </c>
      <c r="Y71" s="1">
        <f t="shared" si="145"/>
        <v>1555200</v>
      </c>
      <c r="AA71" s="1" t="s">
        <v>16</v>
      </c>
      <c r="AB71" s="5">
        <v>0.12</v>
      </c>
    </row>
    <row r="72" spans="2:145" x14ac:dyDescent="0.2">
      <c r="B72" s="1" t="s">
        <v>39</v>
      </c>
      <c r="P72" s="1">
        <v>30000</v>
      </c>
      <c r="Q72" s="1">
        <v>30000</v>
      </c>
      <c r="R72" s="1">
        <v>25000</v>
      </c>
      <c r="S72" s="1">
        <f t="shared" ref="S72:Y72" si="146">R72*1</f>
        <v>25000</v>
      </c>
      <c r="T72" s="1">
        <v>20000</v>
      </c>
      <c r="U72" s="1">
        <f t="shared" si="146"/>
        <v>20000</v>
      </c>
      <c r="V72" s="1">
        <f t="shared" si="146"/>
        <v>20000</v>
      </c>
      <c r="W72" s="1">
        <f t="shared" si="146"/>
        <v>20000</v>
      </c>
      <c r="X72" s="1">
        <f t="shared" si="146"/>
        <v>20000</v>
      </c>
      <c r="Y72" s="1">
        <f t="shared" si="146"/>
        <v>20000</v>
      </c>
      <c r="AA72" s="3" t="s">
        <v>17</v>
      </c>
      <c r="AB72" s="3">
        <f>NPV(AB71,P65:EN65)</f>
        <v>153955.16599192735</v>
      </c>
    </row>
    <row r="73" spans="2:145" x14ac:dyDescent="0.2">
      <c r="B73" s="1" t="s">
        <v>40</v>
      </c>
      <c r="P73" s="1">
        <v>10000</v>
      </c>
      <c r="Q73" s="1">
        <f>P73*0.98</f>
        <v>9800</v>
      </c>
      <c r="R73" s="1">
        <f t="shared" ref="R73:U73" si="147">Q73*0.98</f>
        <v>9604</v>
      </c>
      <c r="S73" s="1">
        <f t="shared" si="147"/>
        <v>9411.92</v>
      </c>
      <c r="T73" s="1">
        <f t="shared" si="147"/>
        <v>9223.6815999999999</v>
      </c>
      <c r="U73" s="1">
        <f t="shared" si="147"/>
        <v>9039.2079680000006</v>
      </c>
      <c r="V73" s="1">
        <f t="shared" ref="V73" si="148">U73*0.98</f>
        <v>8858.4238086400001</v>
      </c>
      <c r="W73" s="1">
        <f t="shared" ref="W73" si="149">V73*0.98</f>
        <v>8681.2553324672008</v>
      </c>
      <c r="X73" s="1">
        <f t="shared" ref="X73" si="150">W73*0.98</f>
        <v>8507.6302258178566</v>
      </c>
      <c r="Y73" s="1">
        <f t="shared" ref="Y73" si="151">X73*0.98</f>
        <v>8337.4776213014993</v>
      </c>
    </row>
    <row r="74" spans="2:145" x14ac:dyDescent="0.2">
      <c r="B74" s="1" t="s">
        <v>42</v>
      </c>
      <c r="P74" s="1">
        <f>(P72-P73)*P71/1000000</f>
        <v>100</v>
      </c>
      <c r="Q74" s="1">
        <f t="shared" ref="Q74:U74" si="152">(Q72-Q73)*Q71/1000000</f>
        <v>1010</v>
      </c>
      <c r="R74" s="1">
        <f t="shared" si="152"/>
        <v>1539.6</v>
      </c>
      <c r="S74" s="1">
        <f t="shared" si="152"/>
        <v>3117.616</v>
      </c>
      <c r="T74" s="1">
        <f t="shared" si="152"/>
        <v>4310.52736</v>
      </c>
      <c r="U74" s="1">
        <f t="shared" si="152"/>
        <v>6576.4752191999996</v>
      </c>
      <c r="V74" s="1">
        <f t="shared" ref="V74:Y74" si="153">(V72-V73)*V71/1000000</f>
        <v>10027.418572223998</v>
      </c>
      <c r="W74" s="1">
        <f t="shared" si="153"/>
        <v>12224.244240935423</v>
      </c>
      <c r="X74" s="1">
        <f t="shared" si="153"/>
        <v>14894.111227340058</v>
      </c>
      <c r="Y74" s="1">
        <f t="shared" si="153"/>
        <v>18137.554803351908</v>
      </c>
      <c r="Z74" s="1">
        <f t="shared" ref="Z74:BE74" si="154">Y74*(1+$AB$77)</f>
        <v>18318.930351385428</v>
      </c>
      <c r="AA74" s="1">
        <f t="shared" si="154"/>
        <v>18502.119654899281</v>
      </c>
      <c r="AB74" s="1">
        <f t="shared" si="154"/>
        <v>18687.140851448275</v>
      </c>
      <c r="AC74" s="1">
        <f t="shared" si="154"/>
        <v>18874.012259962758</v>
      </c>
      <c r="AD74" s="1">
        <f t="shared" si="154"/>
        <v>19062.752382562387</v>
      </c>
      <c r="AE74" s="1">
        <f t="shared" si="154"/>
        <v>19253.379906388011</v>
      </c>
      <c r="AF74" s="1">
        <f t="shared" si="154"/>
        <v>19445.913705451891</v>
      </c>
      <c r="AG74" s="1">
        <f t="shared" si="154"/>
        <v>19640.372842506411</v>
      </c>
      <c r="AH74" s="1">
        <f t="shared" si="154"/>
        <v>19836.776570931474</v>
      </c>
      <c r="AI74" s="1">
        <f t="shared" si="154"/>
        <v>20035.144336640788</v>
      </c>
      <c r="AJ74" s="1">
        <f t="shared" si="154"/>
        <v>20235.495780007197</v>
      </c>
      <c r="AK74" s="1">
        <f t="shared" si="154"/>
        <v>20437.850737807268</v>
      </c>
      <c r="AL74" s="1">
        <f t="shared" si="154"/>
        <v>20642.229245185343</v>
      </c>
      <c r="AM74" s="1">
        <f t="shared" si="154"/>
        <v>20848.651537637197</v>
      </c>
      <c r="AN74" s="1">
        <f t="shared" si="154"/>
        <v>21057.138053013568</v>
      </c>
      <c r="AO74" s="1">
        <f t="shared" si="154"/>
        <v>21267.709433543703</v>
      </c>
      <c r="AP74" s="1">
        <f t="shared" si="154"/>
        <v>21480.386527879142</v>
      </c>
      <c r="AQ74" s="1">
        <f t="shared" si="154"/>
        <v>21695.190393157933</v>
      </c>
      <c r="AR74" s="1">
        <f t="shared" si="154"/>
        <v>21912.142297089511</v>
      </c>
      <c r="AS74" s="1">
        <f t="shared" si="154"/>
        <v>22131.263720060408</v>
      </c>
      <c r="AT74" s="1">
        <f t="shared" si="154"/>
        <v>22352.576357261012</v>
      </c>
      <c r="AU74" s="1">
        <f t="shared" si="154"/>
        <v>22576.102120833624</v>
      </c>
      <c r="AV74" s="1">
        <f t="shared" si="154"/>
        <v>22801.863142041962</v>
      </c>
      <c r="AW74" s="1">
        <f t="shared" si="154"/>
        <v>23029.881773462381</v>
      </c>
      <c r="AX74" s="1">
        <f t="shared" si="154"/>
        <v>23260.180591197004</v>
      </c>
      <c r="AY74" s="1">
        <f t="shared" si="154"/>
        <v>23492.782397108975</v>
      </c>
      <c r="AZ74" s="1">
        <f t="shared" si="154"/>
        <v>23727.710221080066</v>
      </c>
      <c r="BA74" s="1">
        <f t="shared" si="154"/>
        <v>23964.987323290865</v>
      </c>
      <c r="BB74" s="1">
        <f t="shared" si="154"/>
        <v>24204.637196523774</v>
      </c>
      <c r="BC74" s="1">
        <f t="shared" si="154"/>
        <v>24446.68356848901</v>
      </c>
      <c r="BD74" s="1">
        <f t="shared" si="154"/>
        <v>24691.150404173899</v>
      </c>
      <c r="BE74" s="1">
        <f t="shared" si="154"/>
        <v>24938.061908215637</v>
      </c>
      <c r="BF74" s="1">
        <f t="shared" ref="BF74:CK74" si="155">BE74*(1+$AB$77)</f>
        <v>25187.442527297793</v>
      </c>
      <c r="BG74" s="1">
        <f t="shared" si="155"/>
        <v>25439.316952570771</v>
      </c>
      <c r="BH74" s="1">
        <f t="shared" si="155"/>
        <v>25693.71012209648</v>
      </c>
      <c r="BI74" s="1">
        <f t="shared" si="155"/>
        <v>25950.647223317446</v>
      </c>
      <c r="BJ74" s="1">
        <f t="shared" si="155"/>
        <v>26210.15369555062</v>
      </c>
      <c r="BK74" s="1">
        <f t="shared" si="155"/>
        <v>26472.255232506126</v>
      </c>
      <c r="BL74" s="1">
        <f t="shared" si="155"/>
        <v>26736.977784831186</v>
      </c>
      <c r="BM74" s="1">
        <f t="shared" si="155"/>
        <v>27004.347562679497</v>
      </c>
      <c r="BN74" s="1">
        <f t="shared" si="155"/>
        <v>27274.391038306294</v>
      </c>
      <c r="BO74" s="1">
        <f t="shared" si="155"/>
        <v>27547.134948689356</v>
      </c>
      <c r="BP74" s="1">
        <f t="shared" si="155"/>
        <v>27822.606298176248</v>
      </c>
      <c r="BQ74" s="1">
        <f t="shared" si="155"/>
        <v>28100.832361158009</v>
      </c>
      <c r="BR74" s="1">
        <f t="shared" si="155"/>
        <v>28381.840684769588</v>
      </c>
      <c r="BS74" s="1">
        <f t="shared" si="155"/>
        <v>28665.659091617283</v>
      </c>
      <c r="BT74" s="1">
        <f t="shared" si="155"/>
        <v>28952.315682533455</v>
      </c>
      <c r="BU74" s="1">
        <f t="shared" si="155"/>
        <v>29241.838839358792</v>
      </c>
      <c r="BV74" s="1">
        <f t="shared" si="155"/>
        <v>29534.25722775238</v>
      </c>
      <c r="BW74" s="1">
        <f t="shared" si="155"/>
        <v>29829.599800029904</v>
      </c>
      <c r="BX74" s="1">
        <f t="shared" si="155"/>
        <v>30127.895798030204</v>
      </c>
      <c r="BY74" s="1">
        <f t="shared" si="155"/>
        <v>30429.174756010507</v>
      </c>
      <c r="BZ74" s="1">
        <f t="shared" si="155"/>
        <v>30733.466503570613</v>
      </c>
      <c r="CA74" s="1">
        <f t="shared" si="155"/>
        <v>31040.801168606318</v>
      </c>
      <c r="CB74" s="1">
        <f t="shared" si="155"/>
        <v>31351.209180292382</v>
      </c>
      <c r="CC74" s="1">
        <f t="shared" si="155"/>
        <v>31664.721272095307</v>
      </c>
      <c r="CD74" s="1">
        <f t="shared" si="155"/>
        <v>31981.368484816259</v>
      </c>
      <c r="CE74" s="1">
        <f t="shared" si="155"/>
        <v>32301.182169664422</v>
      </c>
      <c r="CF74" s="1">
        <f t="shared" si="155"/>
        <v>32624.193991361066</v>
      </c>
      <c r="CG74" s="1">
        <f t="shared" si="155"/>
        <v>32950.435931274675</v>
      </c>
      <c r="CH74" s="1">
        <f t="shared" si="155"/>
        <v>33279.940290587423</v>
      </c>
      <c r="CI74" s="1">
        <f t="shared" si="155"/>
        <v>33612.739693493299</v>
      </c>
      <c r="CJ74" s="1">
        <f t="shared" si="155"/>
        <v>33948.867090428233</v>
      </c>
      <c r="CK74" s="1">
        <f t="shared" si="155"/>
        <v>34288.355761332517</v>
      </c>
      <c r="CL74" s="1">
        <f t="shared" ref="CL74:DQ74" si="156">CK74*(1+$AB$77)</f>
        <v>34631.239318945845</v>
      </c>
      <c r="CM74" s="1">
        <f t="shared" si="156"/>
        <v>34977.551712135304</v>
      </c>
      <c r="CN74" s="1">
        <f t="shared" si="156"/>
        <v>35327.327229256654</v>
      </c>
      <c r="CO74" s="1">
        <f t="shared" si="156"/>
        <v>35680.600501549219</v>
      </c>
      <c r="CP74" s="1">
        <f t="shared" si="156"/>
        <v>36037.406506564708</v>
      </c>
      <c r="CQ74" s="1">
        <f t="shared" si="156"/>
        <v>36397.780571630356</v>
      </c>
      <c r="CR74" s="1">
        <f t="shared" si="156"/>
        <v>36761.758377346661</v>
      </c>
      <c r="CS74" s="1">
        <f t="shared" si="156"/>
        <v>37129.375961120131</v>
      </c>
      <c r="CT74" s="1">
        <f t="shared" si="156"/>
        <v>37500.669720731334</v>
      </c>
      <c r="CU74" s="1">
        <f t="shared" si="156"/>
        <v>37875.676417938645</v>
      </c>
      <c r="CV74" s="1">
        <f t="shared" si="156"/>
        <v>38254.433182118031</v>
      </c>
      <c r="CW74" s="1">
        <f t="shared" si="156"/>
        <v>38636.977513939215</v>
      </c>
      <c r="CX74" s="1">
        <f t="shared" si="156"/>
        <v>39023.347289078607</v>
      </c>
      <c r="CY74" s="1">
        <f t="shared" si="156"/>
        <v>39413.580761969395</v>
      </c>
      <c r="CZ74" s="1">
        <f t="shared" si="156"/>
        <v>39807.716569589087</v>
      </c>
      <c r="DA74" s="1">
        <f t="shared" si="156"/>
        <v>40205.793735284977</v>
      </c>
      <c r="DB74" s="1">
        <f t="shared" si="156"/>
        <v>40607.851672637829</v>
      </c>
      <c r="DC74" s="1">
        <f t="shared" si="156"/>
        <v>41013.930189364211</v>
      </c>
      <c r="DD74" s="1">
        <f t="shared" si="156"/>
        <v>41424.069491257855</v>
      </c>
      <c r="DE74" s="1">
        <f t="shared" si="156"/>
        <v>41838.310186170434</v>
      </c>
      <c r="DF74" s="1">
        <f t="shared" si="156"/>
        <v>42256.69328803214</v>
      </c>
      <c r="DG74" s="1">
        <f t="shared" si="156"/>
        <v>42679.26022091246</v>
      </c>
      <c r="DH74" s="1">
        <f t="shared" si="156"/>
        <v>43106.052823121587</v>
      </c>
      <c r="DI74" s="1">
        <f t="shared" si="156"/>
        <v>43537.113351352804</v>
      </c>
      <c r="DJ74" s="1">
        <f t="shared" si="156"/>
        <v>43972.484484866334</v>
      </c>
      <c r="DK74" s="1">
        <f t="shared" si="156"/>
        <v>44412.209329714999</v>
      </c>
      <c r="DL74" s="1">
        <f t="shared" si="156"/>
        <v>44856.331423012147</v>
      </c>
      <c r="DM74" s="1">
        <f t="shared" si="156"/>
        <v>45304.89473724227</v>
      </c>
      <c r="DN74" s="1">
        <f t="shared" si="156"/>
        <v>45757.943684614693</v>
      </c>
      <c r="DO74" s="1">
        <f t="shared" si="156"/>
        <v>46215.523121460843</v>
      </c>
      <c r="DP74" s="1">
        <f t="shared" si="156"/>
        <v>46677.678352675452</v>
      </c>
      <c r="DQ74" s="1">
        <f t="shared" si="156"/>
        <v>47144.455136202203</v>
      </c>
      <c r="DR74" s="1">
        <f t="shared" ref="DR74:EO74" si="157">DQ74*(1+$AB$77)</f>
        <v>47615.899687564226</v>
      </c>
      <c r="DS74" s="1">
        <f t="shared" si="157"/>
        <v>48092.058684439871</v>
      </c>
      <c r="DT74" s="1">
        <f t="shared" si="157"/>
        <v>48572.979271284268</v>
      </c>
      <c r="DU74" s="1">
        <f t="shared" si="157"/>
        <v>49058.709063997114</v>
      </c>
      <c r="DV74" s="1">
        <f t="shared" si="157"/>
        <v>49549.296154637086</v>
      </c>
      <c r="DW74" s="1">
        <f t="shared" si="157"/>
        <v>50044.789116183456</v>
      </c>
      <c r="DX74" s="1">
        <f t="shared" si="157"/>
        <v>50545.237007345291</v>
      </c>
      <c r="DY74" s="1">
        <f t="shared" si="157"/>
        <v>51050.689377418741</v>
      </c>
      <c r="DZ74" s="1">
        <f t="shared" si="157"/>
        <v>51561.19627119293</v>
      </c>
      <c r="EA74" s="1">
        <f t="shared" si="157"/>
        <v>52076.808233904863</v>
      </c>
      <c r="EB74" s="1">
        <f t="shared" si="157"/>
        <v>52597.576316243911</v>
      </c>
      <c r="EC74" s="1">
        <f t="shared" si="157"/>
        <v>53123.552079406349</v>
      </c>
      <c r="ED74" s="1">
        <f t="shared" si="157"/>
        <v>53654.787600200412</v>
      </c>
      <c r="EE74" s="1">
        <f t="shared" si="157"/>
        <v>54191.335476202417</v>
      </c>
      <c r="EF74" s="1">
        <f t="shared" si="157"/>
        <v>54733.24883096444</v>
      </c>
      <c r="EG74" s="1">
        <f t="shared" si="157"/>
        <v>55280.581319274082</v>
      </c>
      <c r="EH74" s="1">
        <f t="shared" si="157"/>
        <v>55833.387132466822</v>
      </c>
      <c r="EI74" s="1">
        <f t="shared" si="157"/>
        <v>56391.721003791492</v>
      </c>
      <c r="EJ74" s="1">
        <f t="shared" si="157"/>
        <v>56955.638213829407</v>
      </c>
      <c r="EK74" s="1">
        <f t="shared" si="157"/>
        <v>57525.194595967703</v>
      </c>
      <c r="EL74" s="1">
        <f t="shared" si="157"/>
        <v>58100.446541927384</v>
      </c>
      <c r="EM74" s="1">
        <f t="shared" si="157"/>
        <v>58681.451007346659</v>
      </c>
      <c r="EN74" s="1">
        <f t="shared" si="157"/>
        <v>59268.265517420128</v>
      </c>
      <c r="EO74" s="1">
        <f t="shared" si="157"/>
        <v>59860.948172594333</v>
      </c>
    </row>
    <row r="76" spans="2:145" x14ac:dyDescent="0.2">
      <c r="B76" s="1" t="s">
        <v>41</v>
      </c>
      <c r="P76" s="5">
        <f>P72/P73-1</f>
        <v>2</v>
      </c>
      <c r="Q76" s="5">
        <f>Q72/Q73-1</f>
        <v>2.0612244897959182</v>
      </c>
      <c r="R76" s="5">
        <f>R72/R73-1</f>
        <v>1.603082049146189</v>
      </c>
      <c r="S76" s="5">
        <f>S72/S73-1</f>
        <v>1.6562061725981523</v>
      </c>
      <c r="T76" s="5">
        <f>T72/T73-1</f>
        <v>1.1683315694678793</v>
      </c>
      <c r="U76" s="5">
        <f t="shared" ref="U76:Y76" si="158">U72/U73-1</f>
        <v>1.2125832341508973</v>
      </c>
      <c r="V76" s="5">
        <f t="shared" si="158"/>
        <v>1.2577379940315279</v>
      </c>
      <c r="W76" s="5">
        <f t="shared" si="158"/>
        <v>1.3038142796240075</v>
      </c>
      <c r="X76" s="5">
        <f t="shared" si="158"/>
        <v>1.3508308975755181</v>
      </c>
      <c r="Y76" s="5">
        <f t="shared" si="158"/>
        <v>1.3988070383423654</v>
      </c>
    </row>
    <row r="77" spans="2:145" x14ac:dyDescent="0.2">
      <c r="B77" s="1" t="s">
        <v>43</v>
      </c>
      <c r="Q77" s="5">
        <f>Q71/P71-1</f>
        <v>9</v>
      </c>
      <c r="R77" s="5">
        <f t="shared" ref="R77:T77" si="159">R71/Q71-1</f>
        <v>1</v>
      </c>
      <c r="S77" s="5">
        <f t="shared" si="159"/>
        <v>1</v>
      </c>
      <c r="T77" s="5">
        <f t="shared" si="159"/>
        <v>1</v>
      </c>
      <c r="U77" s="5">
        <f t="shared" ref="U77" si="160">U71/T71-1</f>
        <v>0.5</v>
      </c>
      <c r="V77" s="5">
        <f t="shared" ref="V77" si="161">V71/U71-1</f>
        <v>0.5</v>
      </c>
      <c r="W77" s="5">
        <f t="shared" ref="W77" si="162">W71/V71-1</f>
        <v>0.19999999999999996</v>
      </c>
      <c r="X77" s="5">
        <f t="shared" ref="X77" si="163">X71/W71-1</f>
        <v>0.19999999999999996</v>
      </c>
      <c r="Y77" s="5">
        <f t="shared" ref="Y77" si="164">Y71/X71-1</f>
        <v>0.19999999999999996</v>
      </c>
      <c r="AA77" s="1" t="s">
        <v>15</v>
      </c>
      <c r="AB77" s="5">
        <v>0.01</v>
      </c>
    </row>
    <row r="78" spans="2:145" x14ac:dyDescent="0.2">
      <c r="AA78" s="1" t="s">
        <v>16</v>
      </c>
      <c r="AB78" s="5">
        <v>0.2</v>
      </c>
    </row>
    <row r="79" spans="2:145" x14ac:dyDescent="0.2">
      <c r="B79" s="1" t="s">
        <v>44</v>
      </c>
      <c r="P79" s="1">
        <f>P71+O71</f>
        <v>5000</v>
      </c>
      <c r="Q79" s="1">
        <f>P79+Q71</f>
        <v>55000</v>
      </c>
      <c r="R79" s="1">
        <f t="shared" ref="R79:T79" si="165">Q79+R71</f>
        <v>155000</v>
      </c>
      <c r="S79" s="1">
        <f t="shared" si="165"/>
        <v>355000</v>
      </c>
      <c r="T79" s="1">
        <f t="shared" si="165"/>
        <v>755000</v>
      </c>
      <c r="U79" s="1">
        <f t="shared" ref="U79" si="166">T79+U71</f>
        <v>1355000</v>
      </c>
      <c r="V79" s="1">
        <f t="shared" ref="V79" si="167">U79+V71</f>
        <v>2255000</v>
      </c>
      <c r="W79" s="1">
        <f t="shared" ref="W79" si="168">V79+W71</f>
        <v>3335000</v>
      </c>
      <c r="X79" s="1">
        <f t="shared" ref="X79" si="169">W79+X71</f>
        <v>4631000</v>
      </c>
      <c r="Y79" s="1">
        <f t="shared" ref="Y79" si="170">X79+Y71</f>
        <v>6186200</v>
      </c>
      <c r="AA79" s="3" t="s">
        <v>17</v>
      </c>
      <c r="AB79" s="3">
        <f>NPV(AB78,P74:EO74)</f>
        <v>34142.887863654629</v>
      </c>
    </row>
    <row r="80" spans="2:145" x14ac:dyDescent="0.2">
      <c r="M80" s="5"/>
    </row>
    <row r="81" spans="2:25" x14ac:dyDescent="0.2">
      <c r="B81" s="1" t="s">
        <v>65</v>
      </c>
      <c r="O81" s="1">
        <f>100000+550000+250000+125000</f>
        <v>1025000</v>
      </c>
      <c r="P81" s="1">
        <f>O81*1.5</f>
        <v>1537500</v>
      </c>
      <c r="Q81" s="1">
        <f>O81*2</f>
        <v>2050000</v>
      </c>
      <c r="R81" s="1">
        <f>Q81*1.2</f>
        <v>2460000</v>
      </c>
      <c r="S81" s="1">
        <f t="shared" ref="S81:T83" si="171">R81*1.1</f>
        <v>2706000</v>
      </c>
      <c r="T81" s="1">
        <f t="shared" si="171"/>
        <v>2976600.0000000005</v>
      </c>
      <c r="U81" s="1">
        <f t="shared" ref="U81:U83" si="172">T81*1.1</f>
        <v>3274260.0000000009</v>
      </c>
      <c r="V81" s="1">
        <f t="shared" ref="V81" si="173">U81*1.1</f>
        <v>3601686.0000000014</v>
      </c>
      <c r="W81" s="1">
        <f t="shared" ref="W81" si="174">V81*1.1</f>
        <v>3961854.600000002</v>
      </c>
      <c r="X81" s="1">
        <f t="shared" ref="X81" si="175">W81*1.1</f>
        <v>4358040.0600000024</v>
      </c>
      <c r="Y81" s="1">
        <f t="shared" ref="Y81" si="176">X81*1.1</f>
        <v>4793844.0660000034</v>
      </c>
    </row>
    <row r="82" spans="2:25" x14ac:dyDescent="0.2">
      <c r="B82" s="1" t="s">
        <v>66</v>
      </c>
      <c r="O82" s="1">
        <v>375000</v>
      </c>
      <c r="P82" s="1">
        <f>O82*1.2</f>
        <v>450000</v>
      </c>
      <c r="Q82" s="1">
        <f t="shared" ref="Q82:R82" si="177">P82*1.2</f>
        <v>540000</v>
      </c>
      <c r="R82" s="1">
        <f t="shared" si="177"/>
        <v>648000</v>
      </c>
      <c r="S82" s="1">
        <f t="shared" ref="S82" si="178">R82*1.2</f>
        <v>777600</v>
      </c>
      <c r="T82" s="1">
        <f t="shared" ref="T82" si="179">S82*1.2</f>
        <v>933120</v>
      </c>
      <c r="U82" s="1">
        <f t="shared" ref="U82" si="180">T82*1.2</f>
        <v>1119744</v>
      </c>
      <c r="V82" s="1">
        <f t="shared" ref="V82" si="181">U82*1.2</f>
        <v>1343692.8</v>
      </c>
      <c r="W82" s="1">
        <f t="shared" ref="W82" si="182">V82*1.2</f>
        <v>1612431.3600000001</v>
      </c>
      <c r="X82" s="1">
        <f t="shared" ref="X82" si="183">W82*1.2</f>
        <v>1934917.632</v>
      </c>
      <c r="Y82" s="1">
        <f t="shared" ref="Y82" si="184">X82*1.2</f>
        <v>2321901.1584000001</v>
      </c>
    </row>
    <row r="83" spans="2:25" x14ac:dyDescent="0.2">
      <c r="B83" s="1" t="s">
        <v>67</v>
      </c>
      <c r="O83" s="1">
        <v>950000</v>
      </c>
      <c r="P83" s="1">
        <f>O83*1.1</f>
        <v>1045000.0000000001</v>
      </c>
      <c r="Q83" s="1">
        <f t="shared" ref="Q83" si="185">P83*1.1</f>
        <v>1149500.0000000002</v>
      </c>
      <c r="R83" s="1">
        <f>Q83*1.1</f>
        <v>1264450.0000000005</v>
      </c>
      <c r="S83" s="1">
        <f t="shared" si="171"/>
        <v>1390895.0000000007</v>
      </c>
      <c r="T83" s="1">
        <f t="shared" si="171"/>
        <v>1529984.5000000009</v>
      </c>
      <c r="U83" s="1">
        <f t="shared" si="172"/>
        <v>1682982.9500000011</v>
      </c>
      <c r="V83" s="1">
        <f t="shared" ref="V83" si="186">U83*1.1</f>
        <v>1851281.2450000013</v>
      </c>
      <c r="W83" s="1">
        <f t="shared" ref="W83" si="187">V83*1.1</f>
        <v>2036409.3695000017</v>
      </c>
      <c r="X83" s="1">
        <f t="shared" ref="X83" si="188">W83*1.1</f>
        <v>2240050.3064500019</v>
      </c>
      <c r="Y83" s="1">
        <f t="shared" ref="Y83" si="189">X83*1.1</f>
        <v>2464055.3370950022</v>
      </c>
    </row>
    <row r="84" spans="2:25" x14ac:dyDescent="0.2">
      <c r="B84" s="1" t="s">
        <v>14</v>
      </c>
      <c r="O84" s="1">
        <f>SUM(O81:O83)</f>
        <v>2350000</v>
      </c>
      <c r="P84" s="1">
        <f t="shared" ref="P84:Q84" si="190">SUM(P81:P83)</f>
        <v>3032500</v>
      </c>
      <c r="Q84" s="1">
        <f t="shared" si="190"/>
        <v>3739500</v>
      </c>
      <c r="R84" s="1">
        <f t="shared" ref="R84" si="191">SUM(R81:R83)</f>
        <v>4372450</v>
      </c>
      <c r="S84" s="1">
        <f t="shared" ref="S84" si="192">SUM(S81:S83)</f>
        <v>4874495.0000000009</v>
      </c>
      <c r="T84" s="1">
        <f t="shared" ref="T84" si="193">SUM(T81:T83)</f>
        <v>5439704.5000000019</v>
      </c>
      <c r="U84" s="1">
        <f t="shared" ref="U84:Y84" si="194">SUM(U81:U83)</f>
        <v>6076986.950000002</v>
      </c>
      <c r="V84" s="1">
        <f t="shared" si="194"/>
        <v>6796660.0450000027</v>
      </c>
      <c r="W84" s="1">
        <f t="shared" si="194"/>
        <v>7610695.3295000037</v>
      </c>
      <c r="X84" s="1">
        <f t="shared" si="194"/>
        <v>8533007.9984500036</v>
      </c>
      <c r="Y84" s="1">
        <f t="shared" si="194"/>
        <v>9579800.5614950061</v>
      </c>
    </row>
    <row r="86" spans="2:25" x14ac:dyDescent="0.2">
      <c r="B86" s="1" t="s">
        <v>68</v>
      </c>
      <c r="O86" s="5">
        <f t="shared" ref="O86:U86" si="195">O84/O47</f>
        <v>1.3993609386555892</v>
      </c>
      <c r="P86" s="5">
        <f t="shared" si="195"/>
        <v>1.4894400785854618</v>
      </c>
      <c r="Q86" s="5">
        <f t="shared" si="195"/>
        <v>1.3840772818121252</v>
      </c>
      <c r="R86" s="5">
        <f t="shared" si="195"/>
        <v>1.3247199045039477</v>
      </c>
      <c r="S86" s="5">
        <f t="shared" si="195"/>
        <v>1.3207415018075035</v>
      </c>
      <c r="T86" s="5">
        <f t="shared" si="195"/>
        <v>1.3646102178031203</v>
      </c>
      <c r="U86" s="5">
        <f t="shared" si="195"/>
        <v>1.4011664024043173</v>
      </c>
      <c r="V86" s="5">
        <f t="shared" ref="V86:Y86" si="196">V84/V47</f>
        <v>1.4273404443416748</v>
      </c>
      <c r="W86" s="5">
        <f t="shared" si="196"/>
        <v>1.4397620891139478</v>
      </c>
      <c r="X86" s="5">
        <f t="shared" si="196"/>
        <v>1.435107059759777</v>
      </c>
      <c r="Y86" s="5">
        <f t="shared" si="196"/>
        <v>1.4106166262049509</v>
      </c>
    </row>
    <row r="87" spans="2:25" x14ac:dyDescent="0.2"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">
      <c r="B88" s="1" t="s">
        <v>37</v>
      </c>
      <c r="C88" s="1">
        <f>C89-C107-C106</f>
        <v>25182</v>
      </c>
      <c r="G88" s="1">
        <f>G89-G107-G106</f>
        <v>26224</v>
      </c>
      <c r="N88" s="1">
        <f>N89-N107-N106</f>
        <v>21000</v>
      </c>
      <c r="O88" s="1">
        <f>O89-O107-O106</f>
        <v>25182</v>
      </c>
      <c r="P88" s="1">
        <f t="shared" ref="P88:Y88" si="197">+O88+P21</f>
        <v>41165.735408844499</v>
      </c>
      <c r="Q88" s="1">
        <f t="shared" si="197"/>
        <v>65170.314405604979</v>
      </c>
      <c r="R88" s="1">
        <f t="shared" si="197"/>
        <v>98704.99744706905</v>
      </c>
      <c r="S88" s="1">
        <f t="shared" si="197"/>
        <v>141971.54486468827</v>
      </c>
      <c r="T88" s="1">
        <f t="shared" si="197"/>
        <v>195902.18151080061</v>
      </c>
      <c r="U88" s="1">
        <f t="shared" si="197"/>
        <v>263198.72145470534</v>
      </c>
      <c r="V88" s="1">
        <f t="shared" si="197"/>
        <v>340049.97593075945</v>
      </c>
      <c r="W88" s="1">
        <f t="shared" si="197"/>
        <v>428622.17354623054</v>
      </c>
      <c r="X88" s="1">
        <f t="shared" si="197"/>
        <v>531780.91881284001</v>
      </c>
      <c r="Y88" s="1">
        <f t="shared" si="197"/>
        <v>653350.15026040678</v>
      </c>
    </row>
    <row r="89" spans="2:25" x14ac:dyDescent="0.2">
      <c r="B89" s="1" t="s">
        <v>3</v>
      </c>
      <c r="C89" s="1">
        <f>16139+20424</f>
        <v>36563</v>
      </c>
      <c r="G89" s="1">
        <f>16352+20644</f>
        <v>36996</v>
      </c>
      <c r="N89" s="1">
        <f>16398+12696</f>
        <v>29094</v>
      </c>
      <c r="O89" s="1">
        <f>16139+20424</f>
        <v>36563</v>
      </c>
    </row>
    <row r="90" spans="2:25" x14ac:dyDescent="0.2">
      <c r="B90" s="14" t="s">
        <v>113</v>
      </c>
      <c r="C90" s="1">
        <v>4418</v>
      </c>
      <c r="G90" s="1">
        <v>3782</v>
      </c>
      <c r="N90" s="1">
        <v>3508</v>
      </c>
      <c r="O90" s="1">
        <v>4418</v>
      </c>
    </row>
    <row r="91" spans="2:25" x14ac:dyDescent="0.2">
      <c r="B91" s="14" t="s">
        <v>114</v>
      </c>
      <c r="C91" s="1">
        <v>12017</v>
      </c>
      <c r="G91" s="1">
        <v>13706</v>
      </c>
      <c r="N91" s="1">
        <v>13626</v>
      </c>
      <c r="O91" s="1">
        <v>12017</v>
      </c>
    </row>
    <row r="92" spans="2:25" x14ac:dyDescent="0.2">
      <c r="B92" s="14" t="s">
        <v>115</v>
      </c>
      <c r="C92" s="1">
        <v>5362</v>
      </c>
      <c r="G92" s="1">
        <v>4905</v>
      </c>
      <c r="N92" s="1">
        <v>3388</v>
      </c>
      <c r="O92" s="1">
        <v>5362</v>
      </c>
    </row>
    <row r="93" spans="2:25" x14ac:dyDescent="0.2">
      <c r="B93" s="1" t="s">
        <v>73</v>
      </c>
      <c r="C93" s="1">
        <v>5581</v>
      </c>
      <c r="G93" s="1">
        <v>5477</v>
      </c>
      <c r="N93" s="1">
        <v>5989</v>
      </c>
      <c r="O93" s="1">
        <v>5581</v>
      </c>
    </row>
    <row r="94" spans="2:25" x14ac:dyDescent="0.2">
      <c r="B94" s="1" t="s">
        <v>74</v>
      </c>
      <c r="C94" s="1">
        <v>4924</v>
      </c>
      <c r="G94" s="1">
        <v>4855</v>
      </c>
      <c r="N94" s="1">
        <v>5229</v>
      </c>
      <c r="O94" s="1">
        <v>4924</v>
      </c>
    </row>
    <row r="95" spans="2:25" x14ac:dyDescent="0.2">
      <c r="B95" s="1" t="s">
        <v>75</v>
      </c>
      <c r="C95" s="1">
        <v>35836</v>
      </c>
      <c r="G95" s="1">
        <v>37088</v>
      </c>
      <c r="N95" s="1">
        <v>29725</v>
      </c>
      <c r="O95" s="1">
        <v>35836</v>
      </c>
    </row>
    <row r="96" spans="2:25" x14ac:dyDescent="0.2">
      <c r="B96" s="1" t="s">
        <v>76</v>
      </c>
      <c r="C96" s="1">
        <v>5160</v>
      </c>
      <c r="G96" s="1">
        <v>5330</v>
      </c>
      <c r="N96" s="1">
        <v>4180</v>
      </c>
      <c r="O96" s="1">
        <v>5160</v>
      </c>
    </row>
    <row r="97" spans="2:15" x14ac:dyDescent="0.2">
      <c r="B97" s="1" t="s">
        <v>77</v>
      </c>
      <c r="C97" s="1">
        <v>1076</v>
      </c>
      <c r="G97" s="1">
        <v>951</v>
      </c>
      <c r="N97" s="1">
        <v>184</v>
      </c>
      <c r="O97" s="1">
        <v>1076</v>
      </c>
    </row>
    <row r="98" spans="2:15" x14ac:dyDescent="0.2">
      <c r="B98" s="1" t="s">
        <v>78</v>
      </c>
      <c r="C98" s="1">
        <v>140</v>
      </c>
      <c r="G98" s="1">
        <v>144</v>
      </c>
      <c r="N98" s="1">
        <v>178</v>
      </c>
      <c r="O98" s="1">
        <v>150</v>
      </c>
    </row>
    <row r="99" spans="2:15" x14ac:dyDescent="0.2">
      <c r="B99" s="1" t="s">
        <v>79</v>
      </c>
      <c r="C99" s="1">
        <v>244</v>
      </c>
      <c r="G99" s="1">
        <v>248</v>
      </c>
      <c r="N99" s="1">
        <v>253</v>
      </c>
      <c r="O99" s="1">
        <v>244</v>
      </c>
    </row>
    <row r="100" spans="2:15" x14ac:dyDescent="0.2">
      <c r="B100" s="14" t="s">
        <v>116</v>
      </c>
      <c r="C100" s="1">
        <v>6524</v>
      </c>
      <c r="G100" s="1">
        <v>6687</v>
      </c>
      <c r="N100" s="1">
        <v>6733</v>
      </c>
      <c r="O100" s="1">
        <v>6524</v>
      </c>
    </row>
    <row r="101" spans="2:15" x14ac:dyDescent="0.2">
      <c r="B101" s="14" t="s">
        <v>117</v>
      </c>
      <c r="C101" s="1">
        <v>4215</v>
      </c>
      <c r="G101" s="1">
        <v>4942</v>
      </c>
      <c r="N101" s="1">
        <v>4531</v>
      </c>
      <c r="O101" s="1">
        <v>4215</v>
      </c>
    </row>
    <row r="102" spans="2:15" x14ac:dyDescent="0.2">
      <c r="B102" s="1" t="s">
        <v>80</v>
      </c>
      <c r="C102" s="1">
        <f>SUM(C89:C101)</f>
        <v>122060</v>
      </c>
      <c r="D102" s="1">
        <f>SUM(D89:D101)</f>
        <v>0</v>
      </c>
      <c r="E102" s="1">
        <f>SUM(E89:E101)</f>
        <v>0</v>
      </c>
      <c r="F102" s="1">
        <f>SUM(F89:F101)</f>
        <v>0</v>
      </c>
      <c r="G102" s="1">
        <f>SUM(G89:G101)</f>
        <v>125111</v>
      </c>
      <c r="L102" s="1">
        <f>SUM(L89:L101)</f>
        <v>0</v>
      </c>
      <c r="M102" s="1">
        <f>SUM(M89:M101)</f>
        <v>0</v>
      </c>
      <c r="N102" s="1">
        <f>SUM(N89:N101)</f>
        <v>106618</v>
      </c>
      <c r="O102" s="1">
        <f>SUM(O89:O101)</f>
        <v>122070</v>
      </c>
    </row>
    <row r="104" spans="2:15" x14ac:dyDescent="0.2">
      <c r="B104" s="1" t="s">
        <v>81</v>
      </c>
      <c r="C104" s="1">
        <v>12474</v>
      </c>
      <c r="G104" s="1">
        <v>13471</v>
      </c>
      <c r="N104" s="1">
        <v>14431</v>
      </c>
      <c r="O104" s="1">
        <v>12474</v>
      </c>
    </row>
    <row r="105" spans="2:15" x14ac:dyDescent="0.2">
      <c r="B105" s="1" t="s">
        <v>82</v>
      </c>
      <c r="C105" s="1">
        <v>10723</v>
      </c>
      <c r="G105" s="1">
        <v>10802</v>
      </c>
      <c r="N105" s="1">
        <v>9080</v>
      </c>
      <c r="O105" s="1">
        <v>10723</v>
      </c>
    </row>
    <row r="106" spans="2:15" x14ac:dyDescent="0.2">
      <c r="B106" s="1" t="s">
        <v>85</v>
      </c>
      <c r="C106" s="1">
        <v>3168</v>
      </c>
      <c r="G106" s="1">
        <v>3243</v>
      </c>
      <c r="N106" s="1">
        <v>2864</v>
      </c>
      <c r="O106" s="1">
        <v>3168</v>
      </c>
    </row>
    <row r="107" spans="2:15" x14ac:dyDescent="0.2">
      <c r="B107" s="14" t="s">
        <v>4</v>
      </c>
      <c r="C107" s="1">
        <f>2456+5757</f>
        <v>8213</v>
      </c>
      <c r="G107" s="1">
        <f>2237+5292</f>
        <v>7529</v>
      </c>
      <c r="N107" s="1">
        <f>2373+2857</f>
        <v>5230</v>
      </c>
      <c r="O107" s="1">
        <f>2456+5757</f>
        <v>8213</v>
      </c>
    </row>
    <row r="108" spans="2:15" x14ac:dyDescent="0.2">
      <c r="B108" s="1" t="s">
        <v>84</v>
      </c>
      <c r="C108" s="1">
        <v>3317</v>
      </c>
      <c r="G108" s="1">
        <v>3610</v>
      </c>
      <c r="N108" s="1">
        <v>3251</v>
      </c>
      <c r="O108" s="1">
        <v>3317</v>
      </c>
    </row>
    <row r="109" spans="2:15" x14ac:dyDescent="0.2">
      <c r="B109" s="14" t="s">
        <v>118</v>
      </c>
      <c r="C109" s="1">
        <v>10495</v>
      </c>
      <c r="G109" s="1">
        <v>11038</v>
      </c>
      <c r="N109" s="1">
        <v>8153</v>
      </c>
      <c r="O109" s="1">
        <v>10495</v>
      </c>
    </row>
    <row r="110" spans="2:15" x14ac:dyDescent="0.2">
      <c r="B110" s="1" t="s">
        <v>86</v>
      </c>
      <c r="C110" s="1">
        <f>SUM(C104:C109)</f>
        <v>48390</v>
      </c>
      <c r="D110" s="1">
        <f>SUM(D104:D109)</f>
        <v>0</v>
      </c>
      <c r="E110" s="1">
        <f>SUM(E104:E109)</f>
        <v>0</v>
      </c>
      <c r="F110" s="1">
        <f>SUM(F104:F109)</f>
        <v>0</v>
      </c>
      <c r="G110" s="1">
        <f>SUM(G104:G109)</f>
        <v>49693</v>
      </c>
      <c r="L110" s="1">
        <f>SUM(L104:L109)</f>
        <v>0</v>
      </c>
      <c r="M110" s="1">
        <f>SUM(M104:M109)</f>
        <v>0</v>
      </c>
      <c r="N110" s="1">
        <f>SUM(N104:N109)</f>
        <v>43009</v>
      </c>
      <c r="O110" s="1">
        <f>SUM(O104:O109)</f>
        <v>48390</v>
      </c>
    </row>
    <row r="111" spans="2:15" x14ac:dyDescent="0.2">
      <c r="B111" s="1" t="s">
        <v>87</v>
      </c>
      <c r="C111" s="1">
        <f>C102-C110</f>
        <v>73670</v>
      </c>
      <c r="D111" s="1">
        <f>D102-D110</f>
        <v>0</v>
      </c>
      <c r="E111" s="1">
        <f>E102-E110</f>
        <v>0</v>
      </c>
      <c r="F111" s="1">
        <f>F102-F110</f>
        <v>0</v>
      </c>
      <c r="G111" s="1">
        <f>G102-G110</f>
        <v>75418</v>
      </c>
      <c r="L111" s="1">
        <f>L102-L110</f>
        <v>0</v>
      </c>
      <c r="M111" s="1">
        <f>M102-M110</f>
        <v>0</v>
      </c>
      <c r="N111" s="1">
        <f>N102-N110</f>
        <v>63609</v>
      </c>
      <c r="O111" s="1">
        <f>O102-O110</f>
        <v>73680</v>
      </c>
    </row>
    <row r="112" spans="2:15" x14ac:dyDescent="0.2">
      <c r="B112" s="1" t="s">
        <v>88</v>
      </c>
      <c r="C112" s="1">
        <f t="shared" ref="C112" si="198">C111+C110</f>
        <v>122060</v>
      </c>
      <c r="D112" s="1">
        <f t="shared" ref="D112:L112" si="199">D111+D110</f>
        <v>0</v>
      </c>
      <c r="E112" s="1">
        <f t="shared" si="199"/>
        <v>0</v>
      </c>
      <c r="F112" s="1">
        <f t="shared" si="199"/>
        <v>0</v>
      </c>
      <c r="G112" s="1">
        <f t="shared" si="199"/>
        <v>125111</v>
      </c>
      <c r="L112" s="1">
        <f t="shared" si="199"/>
        <v>0</v>
      </c>
      <c r="M112" s="1">
        <f t="shared" ref="M112" si="200">M111+M110</f>
        <v>0</v>
      </c>
      <c r="N112" s="1">
        <f t="shared" ref="N112" si="201">N111+N110</f>
        <v>106618</v>
      </c>
      <c r="O112" s="1">
        <f t="shared" ref="O112" si="202">O111+O110</f>
        <v>122070</v>
      </c>
    </row>
    <row r="114" spans="2:25" x14ac:dyDescent="0.2">
      <c r="B114" s="1" t="s">
        <v>90</v>
      </c>
      <c r="C114" s="1">
        <f t="shared" ref="C114:J114" si="203">C21</f>
        <v>962</v>
      </c>
      <c r="D114" s="1">
        <f t="shared" si="203"/>
        <v>0</v>
      </c>
      <c r="E114" s="1">
        <f t="shared" si="203"/>
        <v>0</v>
      </c>
      <c r="F114" s="1">
        <f t="shared" si="203"/>
        <v>19798</v>
      </c>
      <c r="G114" s="1">
        <f t="shared" si="203"/>
        <v>633</v>
      </c>
      <c r="H114" s="1">
        <f t="shared" si="203"/>
        <v>20000</v>
      </c>
      <c r="I114" s="1">
        <f t="shared" si="203"/>
        <v>0</v>
      </c>
      <c r="J114" s="1">
        <f t="shared" si="203"/>
        <v>0</v>
      </c>
      <c r="L114" s="1">
        <f t="shared" ref="L114:Y114" si="204">L21</f>
        <v>5853</v>
      </c>
      <c r="M114" s="1">
        <f t="shared" si="204"/>
        <v>12805</v>
      </c>
      <c r="N114" s="1">
        <f t="shared" si="204"/>
        <v>14802</v>
      </c>
      <c r="O114" s="1">
        <f t="shared" si="204"/>
        <v>7142</v>
      </c>
      <c r="P114" s="1">
        <f t="shared" si="204"/>
        <v>15983.735408844503</v>
      </c>
      <c r="Q114" s="1">
        <f t="shared" si="204"/>
        <v>24004.578996760483</v>
      </c>
      <c r="R114" s="1">
        <f t="shared" si="204"/>
        <v>33534.683041464072</v>
      </c>
      <c r="S114" s="1">
        <f t="shared" si="204"/>
        <v>43266.547417619215</v>
      </c>
      <c r="T114" s="1">
        <f t="shared" si="204"/>
        <v>53930.636646112333</v>
      </c>
      <c r="U114" s="1">
        <f t="shared" si="204"/>
        <v>67296.539943904718</v>
      </c>
      <c r="V114" s="1">
        <f t="shared" si="204"/>
        <v>76851.254476054106</v>
      </c>
      <c r="W114" s="1">
        <f t="shared" si="204"/>
        <v>88572.197615471101</v>
      </c>
      <c r="X114" s="1">
        <f t="shared" si="204"/>
        <v>103158.74526660943</v>
      </c>
      <c r="Y114" s="1">
        <f t="shared" si="204"/>
        <v>121569.23144756681</v>
      </c>
    </row>
    <row r="115" spans="2:25" x14ac:dyDescent="0.2">
      <c r="B115" s="1" t="s">
        <v>91</v>
      </c>
      <c r="C115" s="1">
        <v>1405</v>
      </c>
      <c r="G115" s="1">
        <v>420</v>
      </c>
      <c r="M115" s="1">
        <v>12587</v>
      </c>
      <c r="N115" s="1">
        <v>14974</v>
      </c>
      <c r="O115" s="1">
        <v>7153</v>
      </c>
    </row>
    <row r="116" spans="2:25" x14ac:dyDescent="0.2">
      <c r="B116" s="1" t="s">
        <v>102</v>
      </c>
      <c r="C116" s="1">
        <v>1246</v>
      </c>
      <c r="G116" s="1">
        <v>1447</v>
      </c>
      <c r="M116" s="1">
        <v>3747</v>
      </c>
      <c r="N116" s="1">
        <v>4667</v>
      </c>
      <c r="O116" s="1">
        <v>5368</v>
      </c>
    </row>
    <row r="117" spans="2:25" x14ac:dyDescent="0.2">
      <c r="B117" s="14" t="s">
        <v>119</v>
      </c>
      <c r="C117" s="1">
        <v>524</v>
      </c>
      <c r="G117" s="1">
        <v>573</v>
      </c>
      <c r="M117" s="1">
        <v>1560</v>
      </c>
      <c r="N117" s="1">
        <v>1812</v>
      </c>
      <c r="O117" s="1">
        <v>1999</v>
      </c>
      <c r="P117" s="1">
        <f>O117*1.2</f>
        <v>2398.7999999999997</v>
      </c>
      <c r="Q117" s="1">
        <f t="shared" ref="Q117:T117" si="205">P117*1.2</f>
        <v>2878.5599999999995</v>
      </c>
      <c r="R117" s="1">
        <f t="shared" si="205"/>
        <v>3454.2719999999995</v>
      </c>
      <c r="S117" s="1">
        <f t="shared" si="205"/>
        <v>4145.1263999999992</v>
      </c>
      <c r="T117" s="1">
        <f t="shared" si="205"/>
        <v>4974.151679999999</v>
      </c>
      <c r="U117" s="1">
        <f>T117*1.15</f>
        <v>5720.2744319999983</v>
      </c>
      <c r="V117" s="1">
        <f t="shared" ref="V117:Y117" si="206">U117*1.15</f>
        <v>6578.3155967999974</v>
      </c>
      <c r="W117" s="1">
        <f t="shared" si="206"/>
        <v>7565.062936319996</v>
      </c>
      <c r="X117" s="1">
        <f t="shared" si="206"/>
        <v>8699.8223767679956</v>
      </c>
      <c r="Y117" s="1">
        <f t="shared" si="206"/>
        <v>10004.795733283194</v>
      </c>
    </row>
    <row r="118" spans="2:25" x14ac:dyDescent="0.2">
      <c r="B118" s="1" t="s">
        <v>103</v>
      </c>
      <c r="C118" s="1">
        <v>68</v>
      </c>
      <c r="G118" s="1">
        <v>112</v>
      </c>
      <c r="M118" s="1">
        <v>177</v>
      </c>
      <c r="N118" s="1">
        <v>463</v>
      </c>
      <c r="O118" s="1">
        <v>335</v>
      </c>
      <c r="P118" s="1">
        <f t="shared" ref="P118:Y118" si="207">O118*(1+P32)</f>
        <v>461.89878186098889</v>
      </c>
      <c r="Q118" s="1">
        <f t="shared" si="207"/>
        <v>607.16313542839589</v>
      </c>
      <c r="R118" s="1">
        <f t="shared" si="207"/>
        <v>747.70555751868153</v>
      </c>
      <c r="S118" s="1">
        <f t="shared" si="207"/>
        <v>860.21588704227668</v>
      </c>
      <c r="T118" s="1">
        <f t="shared" si="207"/>
        <v>967.60860994306904</v>
      </c>
      <c r="U118" s="1">
        <f t="shared" si="207"/>
        <v>1099.8415268138153</v>
      </c>
      <c r="V118" s="1">
        <f t="shared" si="207"/>
        <v>1264.3797998120199</v>
      </c>
      <c r="W118" s="1">
        <f t="shared" si="207"/>
        <v>1471.1388077153658</v>
      </c>
      <c r="X118" s="1">
        <f t="shared" si="207"/>
        <v>1733.325533542677</v>
      </c>
      <c r="Y118" s="1">
        <f t="shared" si="207"/>
        <v>2068.5786336408764</v>
      </c>
    </row>
    <row r="119" spans="2:25" x14ac:dyDescent="0.2">
      <c r="B119" s="14" t="s">
        <v>120</v>
      </c>
      <c r="C119" s="1">
        <v>-63</v>
      </c>
      <c r="G119" s="1">
        <v>30</v>
      </c>
      <c r="M119" s="1">
        <v>81</v>
      </c>
      <c r="N119" s="1">
        <v>-144</v>
      </c>
      <c r="O119" s="1">
        <v>-73</v>
      </c>
      <c r="P119" s="1">
        <f t="shared" ref="P119:Y119" si="208">O119*(1+P32)</f>
        <v>-100.65257037567818</v>
      </c>
      <c r="Q119" s="1">
        <f t="shared" si="208"/>
        <v>-132.30719070529224</v>
      </c>
      <c r="R119" s="1">
        <f t="shared" si="208"/>
        <v>-162.93285283242912</v>
      </c>
      <c r="S119" s="1">
        <f t="shared" si="208"/>
        <v>-187.45002911667524</v>
      </c>
      <c r="T119" s="1">
        <f t="shared" si="208"/>
        <v>-210.85202545028073</v>
      </c>
      <c r="U119" s="1">
        <f t="shared" si="208"/>
        <v>-239.66695957435383</v>
      </c>
      <c r="V119" s="1">
        <f t="shared" si="208"/>
        <v>-275.52156831724619</v>
      </c>
      <c r="W119" s="1">
        <f t="shared" si="208"/>
        <v>-320.57651630812461</v>
      </c>
      <c r="X119" s="1">
        <f t="shared" si="208"/>
        <v>-377.70974313019542</v>
      </c>
      <c r="Y119" s="1">
        <f t="shared" si="208"/>
        <v>-450.76489628592253</v>
      </c>
    </row>
    <row r="120" spans="2:25" x14ac:dyDescent="0.2">
      <c r="B120" s="14" t="s">
        <v>116</v>
      </c>
      <c r="C120" s="1">
        <v>63</v>
      </c>
      <c r="G120" s="1">
        <v>-43</v>
      </c>
      <c r="M120" s="1">
        <v>-196</v>
      </c>
      <c r="N120" s="1">
        <v>-6349</v>
      </c>
      <c r="O120" s="1">
        <v>477</v>
      </c>
      <c r="P120" s="1">
        <f t="shared" ref="P120:Y120" si="209">O120*(1+P32)</f>
        <v>657.6887132766916</v>
      </c>
      <c r="Q120" s="1">
        <f t="shared" si="209"/>
        <v>864.52780775923839</v>
      </c>
      <c r="R120" s="1">
        <f t="shared" si="209"/>
        <v>1064.6434356310779</v>
      </c>
      <c r="S120" s="1">
        <f t="shared" si="209"/>
        <v>1224.8447108034804</v>
      </c>
      <c r="T120" s="1">
        <f t="shared" si="209"/>
        <v>1377.759125202519</v>
      </c>
      <c r="U120" s="1">
        <f t="shared" si="209"/>
        <v>1566.0430098214624</v>
      </c>
      <c r="V120" s="1">
        <f t="shared" si="209"/>
        <v>1800.3258642099509</v>
      </c>
      <c r="W120" s="1">
        <f t="shared" si="209"/>
        <v>2094.7260038215809</v>
      </c>
      <c r="X120" s="1">
        <f t="shared" si="209"/>
        <v>2468.0485955219615</v>
      </c>
      <c r="Y120" s="1">
        <f t="shared" si="209"/>
        <v>2945.4089798408904</v>
      </c>
    </row>
    <row r="121" spans="2:25" x14ac:dyDescent="0.2">
      <c r="B121" s="1" t="s">
        <v>104</v>
      </c>
      <c r="C121" s="1">
        <v>-5</v>
      </c>
      <c r="G121" s="1">
        <v>46</v>
      </c>
      <c r="M121" s="1">
        <v>340</v>
      </c>
      <c r="N121" s="1">
        <v>81</v>
      </c>
      <c r="O121" s="1">
        <v>172</v>
      </c>
      <c r="P121" s="1">
        <f t="shared" ref="P121:Y121" si="210">O121*(1+P32)</f>
        <v>237.15400143310475</v>
      </c>
      <c r="Q121" s="1">
        <f t="shared" si="210"/>
        <v>311.73749042890779</v>
      </c>
      <c r="R121" s="1">
        <f t="shared" si="210"/>
        <v>383.89658475586043</v>
      </c>
      <c r="S121" s="1">
        <f t="shared" si="210"/>
        <v>441.66308230230334</v>
      </c>
      <c r="T121" s="1">
        <f t="shared" si="210"/>
        <v>496.80203256778481</v>
      </c>
      <c r="U121" s="1">
        <f t="shared" si="210"/>
        <v>564.69475406560082</v>
      </c>
      <c r="V121" s="1">
        <f t="shared" si="210"/>
        <v>649.17410617214171</v>
      </c>
      <c r="W121" s="1">
        <f t="shared" si="210"/>
        <v>755.3309699314716</v>
      </c>
      <c r="X121" s="1">
        <f t="shared" si="210"/>
        <v>889.94624408758364</v>
      </c>
      <c r="Y121" s="1">
        <f t="shared" si="210"/>
        <v>1062.0761939887489</v>
      </c>
    </row>
    <row r="122" spans="2:25" x14ac:dyDescent="0.2">
      <c r="B122" s="1" t="s">
        <v>105</v>
      </c>
      <c r="C122" s="1">
        <v>-335</v>
      </c>
      <c r="G122" s="1">
        <v>125</v>
      </c>
      <c r="M122" s="1">
        <v>140</v>
      </c>
      <c r="N122" s="1">
        <v>0</v>
      </c>
      <c r="O122" s="1">
        <v>-589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2:25" x14ac:dyDescent="0.2">
      <c r="B123" s="14" t="s">
        <v>113</v>
      </c>
      <c r="C123" s="1">
        <v>-422</v>
      </c>
      <c r="G123" s="1">
        <v>630</v>
      </c>
      <c r="M123" s="1">
        <v>-1124</v>
      </c>
      <c r="N123" s="1">
        <v>-586</v>
      </c>
      <c r="O123" s="1">
        <v>-1083</v>
      </c>
      <c r="P123" s="1">
        <f t="shared" ref="P123:Y123" si="211">O123*(1+P32)</f>
        <v>-1493.2429276282119</v>
      </c>
      <c r="Q123" s="1">
        <f t="shared" si="211"/>
        <v>-1962.8587333401576</v>
      </c>
      <c r="R123" s="1">
        <f t="shared" si="211"/>
        <v>-2417.2093098290511</v>
      </c>
      <c r="S123" s="1">
        <f t="shared" si="211"/>
        <v>-2780.9367333336886</v>
      </c>
      <c r="T123" s="1">
        <f t="shared" si="211"/>
        <v>-3128.1197748308773</v>
      </c>
      <c r="U123" s="1">
        <f t="shared" si="211"/>
        <v>-3555.6070851921259</v>
      </c>
      <c r="V123" s="1">
        <f t="shared" si="211"/>
        <v>-4087.5323080490084</v>
      </c>
      <c r="W123" s="1">
        <f t="shared" si="211"/>
        <v>-4755.9502350917655</v>
      </c>
      <c r="X123" s="1">
        <f t="shared" si="211"/>
        <v>-5603.5568741096104</v>
      </c>
      <c r="Y123" s="1">
        <f t="shared" si="211"/>
        <v>-6687.3751051733425</v>
      </c>
    </row>
    <row r="124" spans="2:25" x14ac:dyDescent="0.2">
      <c r="B124" s="14" t="s">
        <v>114</v>
      </c>
      <c r="C124" s="1">
        <v>-2697</v>
      </c>
      <c r="G124" s="1">
        <v>-1704</v>
      </c>
      <c r="M124" s="1">
        <v>-6465</v>
      </c>
      <c r="N124" s="1">
        <v>-1195</v>
      </c>
      <c r="O124" s="1">
        <v>937</v>
      </c>
      <c r="P124" s="1">
        <f t="shared" ref="P124:Y124" si="212">O124*(1+P32)</f>
        <v>1291.9377868768554</v>
      </c>
      <c r="Q124" s="1">
        <f t="shared" si="212"/>
        <v>1698.244351929573</v>
      </c>
      <c r="R124" s="1">
        <f t="shared" si="212"/>
        <v>2091.3436041641926</v>
      </c>
      <c r="S124" s="1">
        <f t="shared" si="212"/>
        <v>2406.0366751003376</v>
      </c>
      <c r="T124" s="1">
        <f t="shared" si="212"/>
        <v>2706.4157239303149</v>
      </c>
      <c r="U124" s="1">
        <f t="shared" si="212"/>
        <v>3076.2731660434174</v>
      </c>
      <c r="V124" s="1">
        <f t="shared" si="212"/>
        <v>3536.4891714145151</v>
      </c>
      <c r="W124" s="1">
        <f t="shared" si="212"/>
        <v>4114.7972024755154</v>
      </c>
      <c r="X124" s="1">
        <f t="shared" si="212"/>
        <v>4848.1373878492186</v>
      </c>
      <c r="Y124" s="1">
        <f t="shared" si="212"/>
        <v>5785.8453126014965</v>
      </c>
    </row>
    <row r="125" spans="2:25" x14ac:dyDescent="0.2">
      <c r="B125" s="1" t="s">
        <v>73</v>
      </c>
      <c r="C125" s="1">
        <v>-12</v>
      </c>
      <c r="G125" s="1">
        <v>-76</v>
      </c>
      <c r="M125" s="1">
        <v>-1570</v>
      </c>
      <c r="N125" s="1">
        <v>-1952</v>
      </c>
      <c r="O125" s="1">
        <v>-590</v>
      </c>
      <c r="P125" s="1">
        <f t="shared" ref="P125:Y125" si="213">O125*(1+P32)</f>
        <v>-813.49337700890578</v>
      </c>
      <c r="Q125" s="1">
        <f t="shared" si="213"/>
        <v>-1069.3320892619511</v>
      </c>
      <c r="R125" s="1">
        <f t="shared" si="213"/>
        <v>-1316.8545639881256</v>
      </c>
      <c r="S125" s="1">
        <f t="shared" si="213"/>
        <v>-1515.0070846416215</v>
      </c>
      <c r="T125" s="1">
        <f t="shared" si="213"/>
        <v>-1704.1465070639126</v>
      </c>
      <c r="U125" s="1">
        <f t="shared" si="213"/>
        <v>-1937.0343308064212</v>
      </c>
      <c r="V125" s="1">
        <f t="shared" si="213"/>
        <v>-2226.8181548928114</v>
      </c>
      <c r="W125" s="1">
        <f t="shared" si="213"/>
        <v>-2590.9608852300476</v>
      </c>
      <c r="X125" s="1">
        <f t="shared" si="213"/>
        <v>-3052.7225814632225</v>
      </c>
      <c r="Y125" s="1">
        <f t="shared" si="213"/>
        <v>-3643.1683398451264</v>
      </c>
    </row>
    <row r="126" spans="2:25" x14ac:dyDescent="0.2">
      <c r="B126" s="14" t="s">
        <v>115</v>
      </c>
      <c r="C126" s="1">
        <v>-972</v>
      </c>
      <c r="G126" s="1">
        <v>-419</v>
      </c>
      <c r="M126" s="1">
        <v>-3713</v>
      </c>
      <c r="N126" s="1">
        <v>-2652</v>
      </c>
      <c r="O126" s="1">
        <v>-3273</v>
      </c>
      <c r="P126" s="1">
        <f t="shared" ref="P126:Y126" si="214">O126*(1+P32)</f>
        <v>-4512.820038898557</v>
      </c>
      <c r="Q126" s="1">
        <f t="shared" si="214"/>
        <v>-5932.0744544989248</v>
      </c>
      <c r="R126" s="1">
        <f t="shared" si="214"/>
        <v>-7305.1948948019244</v>
      </c>
      <c r="S126" s="1">
        <f t="shared" si="214"/>
        <v>-8404.4376068339443</v>
      </c>
      <c r="T126" s="1">
        <f t="shared" si="214"/>
        <v>-9453.6805383392984</v>
      </c>
      <c r="U126" s="1">
        <f t="shared" si="214"/>
        <v>-10745.615872422739</v>
      </c>
      <c r="V126" s="1">
        <f t="shared" si="214"/>
        <v>-12353.179357566392</v>
      </c>
      <c r="W126" s="1">
        <f t="shared" si="214"/>
        <v>-14373.245724335502</v>
      </c>
      <c r="X126" s="1">
        <f t="shared" si="214"/>
        <v>-16934.849168015469</v>
      </c>
      <c r="Y126" s="1">
        <f t="shared" si="214"/>
        <v>-20210.321993751015</v>
      </c>
    </row>
    <row r="127" spans="2:25" x14ac:dyDescent="0.2">
      <c r="B127" s="1" t="s">
        <v>81</v>
      </c>
      <c r="C127" s="1">
        <v>1247</v>
      </c>
      <c r="G127" s="1">
        <v>706</v>
      </c>
      <c r="M127" s="1">
        <v>8029</v>
      </c>
      <c r="N127" s="1">
        <v>2605</v>
      </c>
      <c r="O127" s="1">
        <v>3588</v>
      </c>
      <c r="P127" s="1">
        <f t="shared" ref="P127:Y127" si="215">O127*(1+P32)</f>
        <v>4947.1427740812778</v>
      </c>
      <c r="Q127" s="1">
        <f t="shared" si="215"/>
        <v>6502.989044528611</v>
      </c>
      <c r="R127" s="1">
        <f t="shared" si="215"/>
        <v>8008.2613145582973</v>
      </c>
      <c r="S127" s="1">
        <f t="shared" si="215"/>
        <v>9213.2973215154889</v>
      </c>
      <c r="T127" s="1">
        <f t="shared" si="215"/>
        <v>10363.521470076812</v>
      </c>
      <c r="U127" s="1">
        <f t="shared" si="215"/>
        <v>11779.795218531253</v>
      </c>
      <c r="V127" s="1">
        <f t="shared" si="215"/>
        <v>13542.073796195607</v>
      </c>
      <c r="W127" s="1">
        <f t="shared" si="215"/>
        <v>15756.555349500699</v>
      </c>
      <c r="X127" s="1">
        <f t="shared" si="215"/>
        <v>18564.692580152616</v>
      </c>
      <c r="Y127" s="1">
        <f t="shared" si="215"/>
        <v>22155.403395532736</v>
      </c>
    </row>
    <row r="128" spans="2:25" x14ac:dyDescent="0.2">
      <c r="B128" s="1" t="s">
        <v>83</v>
      </c>
      <c r="C128" s="1">
        <v>195</v>
      </c>
      <c r="G128" s="1">
        <v>309</v>
      </c>
      <c r="M128" s="1">
        <v>1131</v>
      </c>
      <c r="N128" s="1">
        <v>1532</v>
      </c>
      <c r="O128" s="1">
        <v>502</v>
      </c>
      <c r="P128" s="1">
        <f t="shared" ref="P128:Y128" si="216">O128*(1+P32)</f>
        <v>692.15877162452659</v>
      </c>
      <c r="Q128" s="1">
        <f t="shared" si="216"/>
        <v>909.83848950762615</v>
      </c>
      <c r="R128" s="1">
        <f t="shared" si="216"/>
        <v>1120.4423578339645</v>
      </c>
      <c r="S128" s="1">
        <f t="shared" si="216"/>
        <v>1289.0399262543965</v>
      </c>
      <c r="T128" s="1">
        <f t="shared" si="216"/>
        <v>1449.9687229594645</v>
      </c>
      <c r="U128" s="1">
        <f t="shared" si="216"/>
        <v>1648.1207357030903</v>
      </c>
      <c r="V128" s="1">
        <f t="shared" si="216"/>
        <v>1894.6825656884596</v>
      </c>
      <c r="W128" s="1">
        <f t="shared" si="216"/>
        <v>2204.5124820092947</v>
      </c>
      <c r="X128" s="1">
        <f t="shared" si="216"/>
        <v>2597.4012472788772</v>
      </c>
      <c r="Y128" s="1">
        <f t="shared" si="216"/>
        <v>3099.780519664836</v>
      </c>
    </row>
    <row r="129" spans="1:130" s="3" customFormat="1" x14ac:dyDescent="0.2">
      <c r="A129" s="1"/>
      <c r="B129" s="3" t="s">
        <v>53</v>
      </c>
      <c r="C129" s="3">
        <f>SUM(C115:C128)</f>
        <v>242</v>
      </c>
      <c r="D129" s="3">
        <f t="shared" ref="D129:L129" si="217">SUM(D115:D128)</f>
        <v>0</v>
      </c>
      <c r="E129" s="3">
        <f t="shared" si="217"/>
        <v>0</v>
      </c>
      <c r="F129" s="3">
        <f t="shared" si="217"/>
        <v>0</v>
      </c>
      <c r="G129" s="3">
        <f t="shared" si="217"/>
        <v>2156</v>
      </c>
      <c r="H129" s="3">
        <f t="shared" si="217"/>
        <v>0</v>
      </c>
      <c r="I129" s="3">
        <f t="shared" si="217"/>
        <v>0</v>
      </c>
      <c r="J129" s="3">
        <f t="shared" si="217"/>
        <v>0</v>
      </c>
      <c r="L129" s="3">
        <f t="shared" si="217"/>
        <v>0</v>
      </c>
      <c r="M129" s="3">
        <f t="shared" ref="M129" si="218">SUM(M115:M128)</f>
        <v>14724</v>
      </c>
      <c r="N129" s="3">
        <f t="shared" ref="N129" si="219">SUM(N115:N128)</f>
        <v>13256</v>
      </c>
      <c r="O129" s="3">
        <f t="shared" ref="O129" si="220">SUM(O115:O128)</f>
        <v>14923</v>
      </c>
      <c r="P129" s="3">
        <f t="shared" ref="P129:U129" si="221">SUM(P116:P128,P114)</f>
        <v>19750.307324086596</v>
      </c>
      <c r="Q129" s="3">
        <f t="shared" si="221"/>
        <v>28681.066848536509</v>
      </c>
      <c r="R129" s="3">
        <f t="shared" si="221"/>
        <v>39203.056274474613</v>
      </c>
      <c r="S129" s="3">
        <f t="shared" si="221"/>
        <v>49958.939966711565</v>
      </c>
      <c r="T129" s="3">
        <f t="shared" si="221"/>
        <v>61770.065165107924</v>
      </c>
      <c r="U129" s="3">
        <f t="shared" si="221"/>
        <v>76273.658538887714</v>
      </c>
      <c r="V129" s="3">
        <f t="shared" ref="V129:Y129" si="222">SUM(V116:V128,V114)</f>
        <v>87173.64398752134</v>
      </c>
      <c r="W129" s="3">
        <f t="shared" si="222"/>
        <v>100493.58800627958</v>
      </c>
      <c r="X129" s="3">
        <f t="shared" si="222"/>
        <v>116991.28086509186</v>
      </c>
      <c r="Y129" s="3">
        <f t="shared" si="222"/>
        <v>137699.48988106419</v>
      </c>
    </row>
    <row r="130" spans="1:130" x14ac:dyDescent="0.2">
      <c r="B130" s="1" t="s">
        <v>106</v>
      </c>
      <c r="C130" s="1">
        <v>-2777</v>
      </c>
      <c r="G130" s="1">
        <v>-1492</v>
      </c>
      <c r="M130" s="1">
        <v>-7158</v>
      </c>
      <c r="N130" s="1">
        <v>-8898</v>
      </c>
      <c r="O130" s="1">
        <v>-11339</v>
      </c>
    </row>
    <row r="131" spans="1:130" x14ac:dyDescent="0.2">
      <c r="B131" s="14" t="s">
        <v>121</v>
      </c>
      <c r="C131" s="1">
        <f>-6622+4315</f>
        <v>-2307</v>
      </c>
      <c r="G131" s="1">
        <f>-6015+5856</f>
        <v>-159</v>
      </c>
      <c r="M131" s="1">
        <f>-5835+22+76+936</f>
        <v>-4801</v>
      </c>
      <c r="N131" s="1">
        <f>-19112+12491</f>
        <v>-6621</v>
      </c>
      <c r="O131" s="1">
        <f>-35955+28510</f>
        <v>-7445</v>
      </c>
    </row>
    <row r="132" spans="1:130" s="3" customFormat="1" x14ac:dyDescent="0.2">
      <c r="A132" s="1"/>
      <c r="B132" s="14" t="s">
        <v>112</v>
      </c>
      <c r="C132" s="14">
        <f t="shared" ref="C132:J132" si="223">C130</f>
        <v>-2777</v>
      </c>
      <c r="D132" s="14">
        <f t="shared" si="223"/>
        <v>0</v>
      </c>
      <c r="E132" s="14">
        <f t="shared" si="223"/>
        <v>0</v>
      </c>
      <c r="F132" s="14">
        <f t="shared" si="223"/>
        <v>0</v>
      </c>
      <c r="G132" s="14">
        <f t="shared" si="223"/>
        <v>-1492</v>
      </c>
      <c r="H132" s="14">
        <f t="shared" si="223"/>
        <v>0</v>
      </c>
      <c r="I132" s="14">
        <f t="shared" si="223"/>
        <v>0</v>
      </c>
      <c r="J132" s="14">
        <f t="shared" si="223"/>
        <v>0</v>
      </c>
      <c r="K132" s="14"/>
      <c r="L132" s="14">
        <f>L130</f>
        <v>0</v>
      </c>
      <c r="M132" s="14">
        <f>M130</f>
        <v>-7158</v>
      </c>
      <c r="N132" s="14">
        <f>N130</f>
        <v>-8898</v>
      </c>
      <c r="O132" s="14">
        <f>O130</f>
        <v>-11339</v>
      </c>
      <c r="P132" s="14">
        <f t="shared" ref="P132:Y132" si="224">P8*-0.09</f>
        <v>-12122.568000000001</v>
      </c>
      <c r="Q132" s="14">
        <f t="shared" si="224"/>
        <v>-15935.041799999999</v>
      </c>
      <c r="R132" s="14">
        <f t="shared" si="224"/>
        <v>-19623.588156000002</v>
      </c>
      <c r="S132" s="14">
        <f t="shared" si="224"/>
        <v>-22576.430150640004</v>
      </c>
      <c r="T132" s="14">
        <f t="shared" si="224"/>
        <v>-25394.960177553607</v>
      </c>
      <c r="U132" s="14">
        <f t="shared" si="224"/>
        <v>-28865.42294895447</v>
      </c>
      <c r="V132" s="14">
        <f t="shared" si="224"/>
        <v>-33183.742202767949</v>
      </c>
      <c r="W132" s="14">
        <f t="shared" si="224"/>
        <v>-38610.147794967968</v>
      </c>
      <c r="X132" s="14">
        <f t="shared" si="224"/>
        <v>-45491.257980479328</v>
      </c>
      <c r="Y132" s="14">
        <f t="shared" si="224"/>
        <v>-54290.000611444644</v>
      </c>
    </row>
    <row r="133" spans="1:130" s="3" customFormat="1" x14ac:dyDescent="0.2">
      <c r="A133" s="1"/>
      <c r="B133" s="3" t="s">
        <v>52</v>
      </c>
      <c r="C133" s="3">
        <f t="shared" ref="C133:J133" si="225">C129+C132</f>
        <v>-2535</v>
      </c>
      <c r="D133" s="3">
        <f t="shared" si="225"/>
        <v>0</v>
      </c>
      <c r="E133" s="3">
        <f t="shared" si="225"/>
        <v>0</v>
      </c>
      <c r="F133" s="3">
        <f t="shared" si="225"/>
        <v>0</v>
      </c>
      <c r="G133" s="3">
        <f t="shared" si="225"/>
        <v>664</v>
      </c>
      <c r="H133" s="3">
        <f t="shared" si="225"/>
        <v>0</v>
      </c>
      <c r="I133" s="3">
        <f t="shared" si="225"/>
        <v>0</v>
      </c>
      <c r="J133" s="3">
        <f t="shared" si="225"/>
        <v>0</v>
      </c>
      <c r="L133" s="3">
        <f t="shared" ref="L133:Y133" si="226">L129+L132</f>
        <v>0</v>
      </c>
      <c r="M133" s="3">
        <f t="shared" si="226"/>
        <v>7566</v>
      </c>
      <c r="N133" s="3">
        <f t="shared" si="226"/>
        <v>4358</v>
      </c>
      <c r="O133" s="3">
        <f t="shared" si="226"/>
        <v>3584</v>
      </c>
      <c r="P133" s="3">
        <f t="shared" si="226"/>
        <v>7627.7393240865949</v>
      </c>
      <c r="Q133" s="3">
        <f t="shared" si="226"/>
        <v>12746.02504853651</v>
      </c>
      <c r="R133" s="3">
        <f t="shared" si="226"/>
        <v>19579.468118474611</v>
      </c>
      <c r="S133" s="3">
        <f t="shared" si="226"/>
        <v>27382.509816071561</v>
      </c>
      <c r="T133" s="3">
        <f t="shared" si="226"/>
        <v>36375.104987554318</v>
      </c>
      <c r="U133" s="3">
        <f t="shared" si="226"/>
        <v>47408.235589933247</v>
      </c>
      <c r="V133" s="3">
        <f t="shared" si="226"/>
        <v>53989.901784753391</v>
      </c>
      <c r="W133" s="3">
        <f t="shared" si="226"/>
        <v>61883.440211311608</v>
      </c>
      <c r="X133" s="3">
        <f t="shared" si="226"/>
        <v>71500.022884612525</v>
      </c>
      <c r="Y133" s="3">
        <f t="shared" si="226"/>
        <v>83409.489269619546</v>
      </c>
      <c r="Z133" s="3">
        <f>Y133*(1+$AB$10)</f>
        <v>84243.584162315747</v>
      </c>
      <c r="AA133" s="3">
        <f>Z133*(1+$AB$10)</f>
        <v>85086.020003938902</v>
      </c>
      <c r="AB133" s="3">
        <f>AA133*(1+$AB$10)</f>
        <v>85936.88020397829</v>
      </c>
      <c r="AC133" s="3">
        <f>AB133*(1+$AB$10)</f>
        <v>86796.249006018072</v>
      </c>
      <c r="AD133" s="3">
        <f>AC133*(1+$AB$10)</f>
        <v>87664.211496078249</v>
      </c>
      <c r="AE133" s="3">
        <f>AD133*(1+$AB$10)</f>
        <v>88540.853611039027</v>
      </c>
      <c r="AF133" s="3">
        <f>AE133*(1+$AB$10)</f>
        <v>89426.26214714942</v>
      </c>
      <c r="AG133" s="3">
        <f>AF133*(1+$AB$10)</f>
        <v>90320.524768620919</v>
      </c>
      <c r="AH133" s="3">
        <f>AG133*(1+$AB$10)</f>
        <v>91223.730016307134</v>
      </c>
      <c r="AI133" s="3">
        <f>AH133*(1+$AB$10)</f>
        <v>92135.967316470211</v>
      </c>
      <c r="AJ133" s="3">
        <f>AI133*(1+$AB$10)</f>
        <v>93057.326989634908</v>
      </c>
      <c r="AK133" s="3">
        <f>AJ133*(1+$AB$10)</f>
        <v>93987.900259531263</v>
      </c>
      <c r="AL133" s="3">
        <f>AK133*(1+$AB$10)</f>
        <v>94927.779262126583</v>
      </c>
      <c r="AM133" s="3">
        <f>AL133*(1+$AB$10)</f>
        <v>95877.057054747856</v>
      </c>
      <c r="AN133" s="3">
        <f>AM133*(1+$AB$10)</f>
        <v>96835.827625295336</v>
      </c>
      <c r="AO133" s="3">
        <f>AN133*(1+$AB$10)</f>
        <v>97804.185901548291</v>
      </c>
      <c r="AP133" s="3">
        <f>AO133*(1+$AB$10)</f>
        <v>98782.227760563779</v>
      </c>
      <c r="AQ133" s="3">
        <f>AP133*(1+$AB$10)</f>
        <v>99770.050038169415</v>
      </c>
      <c r="AR133" s="3">
        <f>AQ133*(1+$AB$10)</f>
        <v>100767.7505385511</v>
      </c>
      <c r="AS133" s="3">
        <f>AR133*(1+$AB$10)</f>
        <v>101775.42804393661</v>
      </c>
      <c r="AT133" s="3">
        <f>AS133*(1+$AB$10)</f>
        <v>102793.18232437599</v>
      </c>
      <c r="AU133" s="3">
        <f>AT133*(1+$AB$10)</f>
        <v>103821.11414761975</v>
      </c>
      <c r="AV133" s="3">
        <f>AU133*(1+$AB$10)</f>
        <v>104859.32528909596</v>
      </c>
      <c r="AW133" s="3">
        <f>AV133*(1+$AB$10)</f>
        <v>105907.91854198692</v>
      </c>
      <c r="AX133" s="3">
        <f>AW133*(1+$AB$10)</f>
        <v>106966.99772740679</v>
      </c>
      <c r="AY133" s="3">
        <f>AX133*(1+$AB$10)</f>
        <v>108036.66770468086</v>
      </c>
      <c r="AZ133" s="3">
        <f>AY133*(1+$AB$10)</f>
        <v>109117.03438172767</v>
      </c>
      <c r="BA133" s="3">
        <f>AZ133*(1+$AB$10)</f>
        <v>110208.20472554496</v>
      </c>
      <c r="BB133" s="3">
        <f>BA133*(1+$AB$10)</f>
        <v>111310.28677280041</v>
      </c>
      <c r="BC133" s="3">
        <f>BB133*(1+$AB$10)</f>
        <v>112423.38964052842</v>
      </c>
      <c r="BD133" s="3">
        <f>BC133*(1+$AB$10)</f>
        <v>113547.62353693371</v>
      </c>
      <c r="BE133" s="3">
        <f>BD133*(1+$AB$10)</f>
        <v>114683.09977230305</v>
      </c>
      <c r="BF133" s="3">
        <f>BE133*(1+$AB$10)</f>
        <v>115829.93077002608</v>
      </c>
      <c r="BG133" s="3">
        <f>BF133*(1+$AB$10)</f>
        <v>116988.23007772634</v>
      </c>
      <c r="BH133" s="3">
        <f>BG133*(1+$AB$10)</f>
        <v>118158.1123785036</v>
      </c>
      <c r="BI133" s="3">
        <f>BH133*(1+$AB$10)</f>
        <v>119339.69350228865</v>
      </c>
      <c r="BJ133" s="3">
        <f>BI133*(1+$AB$10)</f>
        <v>120533.09043731153</v>
      </c>
      <c r="BK133" s="3">
        <f>BJ133*(1+$AB$10)</f>
        <v>121738.42134168465</v>
      </c>
      <c r="BL133" s="3">
        <f>BK133*(1+$AB$10)</f>
        <v>122955.8055551015</v>
      </c>
      <c r="BM133" s="3">
        <f>BL133*(1+$AB$10)</f>
        <v>124185.36361065251</v>
      </c>
      <c r="BN133" s="3">
        <f>BM133*(1+$AB$10)</f>
        <v>125427.21724675903</v>
      </c>
      <c r="BO133" s="3">
        <f>BN133*(1+$AB$10)</f>
        <v>126681.48941922662</v>
      </c>
      <c r="BP133" s="3">
        <f>BO133*(1+$AB$10)</f>
        <v>127948.30431341889</v>
      </c>
      <c r="BQ133" s="3">
        <f>BP133*(1+$AB$10)</f>
        <v>129227.78735655308</v>
      </c>
      <c r="BR133" s="3">
        <f>BQ133*(1+$AB$10)</f>
        <v>130520.06523011861</v>
      </c>
      <c r="BS133" s="3">
        <f>BR133*(1+$AB$10)</f>
        <v>131825.2658824198</v>
      </c>
      <c r="BT133" s="3">
        <f>BS133*(1+$AB$10)</f>
        <v>133143.518541244</v>
      </c>
      <c r="BU133" s="3">
        <f>BT133*(1+$AB$10)</f>
        <v>134474.95372665644</v>
      </c>
      <c r="BV133" s="3">
        <f>BU133*(1+$AB$10)</f>
        <v>135819.703263923</v>
      </c>
      <c r="BW133" s="3">
        <f>BV133*(1+$AB$10)</f>
        <v>137177.90029656223</v>
      </c>
      <c r="BX133" s="3">
        <f>BW133*(1+$AB$10)</f>
        <v>138549.67929952787</v>
      </c>
      <c r="BY133" s="3">
        <f>BX133*(1+$AB$10)</f>
        <v>139935.17609252315</v>
      </c>
      <c r="BZ133" s="3">
        <f>BY133*(1+$AB$10)</f>
        <v>141334.52785344838</v>
      </c>
      <c r="CA133" s="3">
        <f>BZ133*(1+$AB$10)</f>
        <v>142747.87313198287</v>
      </c>
      <c r="CB133" s="3">
        <f>CA133*(1+$AB$10)</f>
        <v>144175.3518633027</v>
      </c>
      <c r="CC133" s="3">
        <f>CB133*(1+$AB$10)</f>
        <v>145617.10538193572</v>
      </c>
      <c r="CD133" s="3">
        <f>CC133*(1+$AB$10)</f>
        <v>147073.27643575508</v>
      </c>
      <c r="CE133" s="3">
        <f>CD133*(1+$AB$10)</f>
        <v>148544.00920011263</v>
      </c>
      <c r="CF133" s="3">
        <f>CE133*(1+$AB$10)</f>
        <v>150029.44929211377</v>
      </c>
      <c r="CG133" s="3">
        <f>CF133*(1+$AB$10)</f>
        <v>151529.74378503492</v>
      </c>
      <c r="CH133" s="3">
        <f>CG133*(1+$AB$10)</f>
        <v>153045.04122288528</v>
      </c>
      <c r="CI133" s="3">
        <f>CH133*(1+$AB$10)</f>
        <v>154575.49163511413</v>
      </c>
      <c r="CJ133" s="3">
        <f>CI133*(1+$AB$10)</f>
        <v>156121.24655146527</v>
      </c>
      <c r="CK133" s="3">
        <f>CJ133*(1+$AB$10)</f>
        <v>157682.45901697993</v>
      </c>
      <c r="CL133" s="3">
        <f>CK133*(1+$AB$10)</f>
        <v>159259.28360714973</v>
      </c>
      <c r="CM133" s="3">
        <f>CL133*(1+$AB$10)</f>
        <v>160851.87644322123</v>
      </c>
      <c r="CN133" s="3">
        <f>CM133*(1+$AB$10)</f>
        <v>162460.39520765343</v>
      </c>
      <c r="CO133" s="3">
        <f>CN133*(1+$AB$10)</f>
        <v>164084.99915972998</v>
      </c>
      <c r="CP133" s="3">
        <f>CO133*(1+$AB$10)</f>
        <v>165725.84915132727</v>
      </c>
      <c r="CQ133" s="3">
        <f>CP133*(1+$AB$10)</f>
        <v>167383.10764284054</v>
      </c>
      <c r="CR133" s="3">
        <f>CQ133*(1+$AB$10)</f>
        <v>169056.93871926895</v>
      </c>
      <c r="CS133" s="3">
        <f>CR133*(1+$AB$10)</f>
        <v>170747.50810646164</v>
      </c>
      <c r="CT133" s="3">
        <f>CS133*(1+$AB$10)</f>
        <v>172454.98318752626</v>
      </c>
      <c r="CU133" s="3">
        <f>CT133*(1+$AB$10)</f>
        <v>174179.53301940151</v>
      </c>
      <c r="CV133" s="3">
        <f>CU133*(1+$AB$10)</f>
        <v>175921.32834959554</v>
      </c>
      <c r="CW133" s="3">
        <f>CV133*(1+$AB$10)</f>
        <v>177680.54163309149</v>
      </c>
      <c r="CX133" s="3">
        <f>CW133*(1+$AB$10)</f>
        <v>179457.34704942242</v>
      </c>
      <c r="CY133" s="3">
        <f>CX133*(1+$AB$10)</f>
        <v>181251.92051991663</v>
      </c>
      <c r="CZ133" s="3">
        <f>CY133*(1+$AB$10)</f>
        <v>183064.43972511581</v>
      </c>
      <c r="DA133" s="3">
        <f>CZ133*(1+$AB$10)</f>
        <v>184895.08412236697</v>
      </c>
      <c r="DB133" s="3">
        <f>DA133*(1+$AB$10)</f>
        <v>186744.03496359065</v>
      </c>
      <c r="DC133" s="3">
        <f>DB133*(1+$AB$10)</f>
        <v>188611.47531322655</v>
      </c>
      <c r="DD133" s="3">
        <f>DC133*(1+$AB$10)</f>
        <v>190497.59006635883</v>
      </c>
      <c r="DE133" s="3">
        <f>DD133*(1+$AB$10)</f>
        <v>192402.56596702241</v>
      </c>
      <c r="DF133" s="3">
        <f>DE133*(1+$AB$10)</f>
        <v>194326.59162669265</v>
      </c>
      <c r="DG133" s="3">
        <f>DF133*(1+$AB$10)</f>
        <v>196269.85754295957</v>
      </c>
      <c r="DH133" s="3">
        <f>DG133*(1+$AB$10)</f>
        <v>198232.55611838916</v>
      </c>
      <c r="DI133" s="3">
        <f>DH133*(1+$AB$10)</f>
        <v>200214.88167957304</v>
      </c>
      <c r="DJ133" s="3">
        <f>DI133*(1+$AB$10)</f>
        <v>202217.03049636877</v>
      </c>
      <c r="DK133" s="3">
        <f>DJ133*(1+$AB$10)</f>
        <v>204239.20080133245</v>
      </c>
      <c r="DL133" s="3">
        <f>DK133*(1+$AB$10)</f>
        <v>206281.59280934578</v>
      </c>
      <c r="DM133" s="3">
        <f>DL133*(1+$AB$10)</f>
        <v>208344.40873743923</v>
      </c>
      <c r="DN133" s="3">
        <f>DM133*(1+$AB$10)</f>
        <v>210427.85282481363</v>
      </c>
      <c r="DO133" s="3">
        <f>DN133*(1+$AB$10)</f>
        <v>212532.13135306176</v>
      </c>
      <c r="DP133" s="3">
        <f>DO133*(1+$AB$10)</f>
        <v>214657.45266659238</v>
      </c>
      <c r="DQ133" s="3">
        <f>DP133*(1+$AB$10)</f>
        <v>216804.02719325831</v>
      </c>
      <c r="DR133" s="3">
        <f>DQ133*(1+$AB$10)</f>
        <v>218972.06746519089</v>
      </c>
      <c r="DS133" s="3">
        <f>DR133*(1+$AB$10)</f>
        <v>221161.7881398428</v>
      </c>
      <c r="DT133" s="3">
        <f>DS133*(1+$AB$10)</f>
        <v>223373.40602124124</v>
      </c>
      <c r="DU133" s="3">
        <f>DT133*(1+$AB$10)</f>
        <v>225607.14008145366</v>
      </c>
      <c r="DV133" s="3">
        <f>DU133*(1+$AB$10)</f>
        <v>227863.21148226821</v>
      </c>
      <c r="DW133" s="3">
        <f>DV133*(1+$AB$10)</f>
        <v>230141.84359709089</v>
      </c>
      <c r="DX133" s="3">
        <f>DW133*(1+$AB$10)</f>
        <v>232443.26203306179</v>
      </c>
      <c r="DY133" s="3">
        <f>DX133*(1+$AB$10)</f>
        <v>234767.69465339242</v>
      </c>
      <c r="DZ133" s="3">
        <f>DY133*(1+$AB$10)</f>
        <v>237115.37159992635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2025-09-04T07:11:39Z</dcterms:modified>
</cp:coreProperties>
</file>