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50263960-F9FC-4771-9D93-20E368F75595}" xr6:coauthVersionLast="47" xr6:coauthVersionMax="47" xr10:uidLastSave="{00000000-0000-0000-0000-000000000000}"/>
  <bookViews>
    <workbookView xWindow="2925" yWindow="750" windowWidth="21945" windowHeight="13935" activeTab="1" xr2:uid="{A01DB42C-5223-4941-B241-BC5C0C7D8EF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J6" i="2" s="1"/>
  <c r="H16" i="2"/>
  <c r="G29" i="2"/>
  <c r="R46" i="2"/>
  <c r="S46" i="2" s="1"/>
  <c r="T46" i="2" s="1"/>
  <c r="Q57" i="2"/>
  <c r="P57" i="2"/>
  <c r="Q60" i="2"/>
  <c r="P60" i="2"/>
  <c r="G5" i="2"/>
  <c r="G6" i="2" s="1"/>
  <c r="H22" i="2" s="1"/>
  <c r="I24" i="2"/>
  <c r="J24" i="2" s="1"/>
  <c r="H7" i="2"/>
  <c r="H21" i="2"/>
  <c r="R14" i="2"/>
  <c r="T14" i="2" s="1"/>
  <c r="U14" i="2" s="1"/>
  <c r="V14" i="2" s="1"/>
  <c r="C29" i="2"/>
  <c r="H13" i="2"/>
  <c r="H18" i="2"/>
  <c r="I18" i="2" s="1"/>
  <c r="J18" i="2" s="1"/>
  <c r="R18" i="2" s="1"/>
  <c r="S18" i="2" s="1"/>
  <c r="T18" i="2" s="1"/>
  <c r="U18" i="2" s="1"/>
  <c r="V18" i="2" s="1"/>
  <c r="H11" i="2"/>
  <c r="G13" i="2"/>
  <c r="C13" i="2"/>
  <c r="D8" i="2"/>
  <c r="D24" i="2" s="1"/>
  <c r="E8" i="2"/>
  <c r="E24" i="2" s="1"/>
  <c r="F8" i="2"/>
  <c r="F24" i="2" s="1"/>
  <c r="D11" i="2"/>
  <c r="D26" i="2" s="1"/>
  <c r="E11" i="2"/>
  <c r="E26" i="2" s="1"/>
  <c r="F11" i="2"/>
  <c r="F26" i="2" s="1"/>
  <c r="G11" i="2"/>
  <c r="C11" i="2"/>
  <c r="C26" i="2" s="1"/>
  <c r="C8" i="2"/>
  <c r="L13" i="2"/>
  <c r="L11" i="2"/>
  <c r="L8" i="2"/>
  <c r="P13" i="2"/>
  <c r="O13" i="2"/>
  <c r="Q13" i="2"/>
  <c r="N21" i="2"/>
  <c r="M21" i="2"/>
  <c r="O21" i="2"/>
  <c r="Q21" i="2"/>
  <c r="P21" i="2"/>
  <c r="N8" i="2"/>
  <c r="O8" i="2"/>
  <c r="O24" i="2" s="1"/>
  <c r="P8" i="2"/>
  <c r="Q8" i="2"/>
  <c r="Q24" i="2" s="1"/>
  <c r="N11" i="2"/>
  <c r="O11" i="2"/>
  <c r="O26" i="2" s="1"/>
  <c r="P11" i="2"/>
  <c r="P26" i="2" s="1"/>
  <c r="Q11" i="2"/>
  <c r="Q26" i="2" s="1"/>
  <c r="N13" i="2"/>
  <c r="M13" i="2"/>
  <c r="M11" i="2"/>
  <c r="M8" i="2"/>
  <c r="M24" i="2" s="1"/>
  <c r="Q37" i="2"/>
  <c r="Q31" i="2"/>
  <c r="N1" i="2"/>
  <c r="O1" i="2" s="1"/>
  <c r="P1" i="2" s="1"/>
  <c r="Q1" i="2" s="1"/>
  <c r="R1" i="2" s="1"/>
  <c r="S1" i="2" s="1"/>
  <c r="T1" i="2" s="1"/>
  <c r="U1" i="2" s="1"/>
  <c r="V1" i="2" s="1"/>
  <c r="O4" i="1"/>
  <c r="P62" i="2" l="1"/>
  <c r="Q62" i="2"/>
  <c r="U46" i="2"/>
  <c r="G8" i="2"/>
  <c r="G12" i="2" s="1"/>
  <c r="G25" i="2" s="1"/>
  <c r="J21" i="2"/>
  <c r="R6" i="2"/>
  <c r="H8" i="2"/>
  <c r="H12" i="2" s="1"/>
  <c r="H15" i="2" s="1"/>
  <c r="I21" i="2"/>
  <c r="G21" i="2"/>
  <c r="G22" i="2"/>
  <c r="J22" i="2"/>
  <c r="J11" i="2"/>
  <c r="I22" i="2"/>
  <c r="J7" i="2"/>
  <c r="J8" i="2" s="1"/>
  <c r="I11" i="2"/>
  <c r="G26" i="2"/>
  <c r="I7" i="2"/>
  <c r="C12" i="2"/>
  <c r="C15" i="2" s="1"/>
  <c r="D12" i="2"/>
  <c r="D25" i="2" s="1"/>
  <c r="E12" i="2"/>
  <c r="E25" i="2" s="1"/>
  <c r="F12" i="2"/>
  <c r="F25" i="2" s="1"/>
  <c r="L12" i="2"/>
  <c r="L15" i="2" s="1"/>
  <c r="L17" i="2" s="1"/>
  <c r="C24" i="2"/>
  <c r="P12" i="2"/>
  <c r="N12" i="2"/>
  <c r="N15" i="2" s="1"/>
  <c r="P24" i="2"/>
  <c r="N24" i="2"/>
  <c r="M12" i="2"/>
  <c r="M15" i="2" s="1"/>
  <c r="Q12" i="2"/>
  <c r="O12" i="2"/>
  <c r="Q29" i="2"/>
  <c r="O7" i="1"/>
  <c r="R7" i="2" l="1"/>
  <c r="R8" i="2" s="1"/>
  <c r="R24" i="2" s="1"/>
  <c r="V46" i="2"/>
  <c r="G24" i="2"/>
  <c r="R11" i="2"/>
  <c r="R26" i="2" s="1"/>
  <c r="I8" i="2"/>
  <c r="I12" i="2" s="1"/>
  <c r="I25" i="2" s="1"/>
  <c r="J12" i="2"/>
  <c r="J25" i="2"/>
  <c r="C17" i="2"/>
  <c r="C19" i="2" s="1"/>
  <c r="D15" i="2"/>
  <c r="C25" i="2"/>
  <c r="F15" i="2"/>
  <c r="E15" i="2"/>
  <c r="H25" i="2"/>
  <c r="G15" i="2"/>
  <c r="R21" i="2"/>
  <c r="S6" i="2"/>
  <c r="Q15" i="2"/>
  <c r="Q17" i="2" s="1"/>
  <c r="Q44" i="2" s="1"/>
  <c r="Q25" i="2"/>
  <c r="O15" i="2"/>
  <c r="O17" i="2" s="1"/>
  <c r="O25" i="2"/>
  <c r="P15" i="2"/>
  <c r="P25" i="2"/>
  <c r="N17" i="2"/>
  <c r="N44" i="2" s="1"/>
  <c r="R56" i="2" l="1"/>
  <c r="R47" i="2"/>
  <c r="R60" i="2"/>
  <c r="R55" i="2"/>
  <c r="H17" i="2"/>
  <c r="G17" i="2"/>
  <c r="G19" i="2" s="1"/>
  <c r="F17" i="2"/>
  <c r="F19" i="2" s="1"/>
  <c r="E17" i="2"/>
  <c r="E19" i="2" s="1"/>
  <c r="D17" i="2"/>
  <c r="D19" i="2" s="1"/>
  <c r="P17" i="2"/>
  <c r="P44" i="2" s="1"/>
  <c r="T6" i="2"/>
  <c r="S21" i="2"/>
  <c r="S7" i="2"/>
  <c r="S8" i="2" s="1"/>
  <c r="Q19" i="2"/>
  <c r="O44" i="2"/>
  <c r="O19" i="2"/>
  <c r="S55" i="2" l="1"/>
  <c r="S60" i="2"/>
  <c r="S47" i="2"/>
  <c r="S56" i="2"/>
  <c r="H19" i="2"/>
  <c r="H29" i="2"/>
  <c r="I13" i="2" s="1"/>
  <c r="P19" i="2"/>
  <c r="U6" i="2"/>
  <c r="T7" i="2"/>
  <c r="T8" i="2" s="1"/>
  <c r="T21" i="2"/>
  <c r="R12" i="2"/>
  <c r="R25" i="2" s="1"/>
  <c r="M17" i="2"/>
  <c r="M44" i="2" s="1"/>
  <c r="T56" i="2" l="1"/>
  <c r="T47" i="2"/>
  <c r="T60" i="2"/>
  <c r="T55" i="2"/>
  <c r="I15" i="2"/>
  <c r="I16" i="2" s="1"/>
  <c r="V6" i="2"/>
  <c r="U7" i="2"/>
  <c r="U8" i="2" s="1"/>
  <c r="U21" i="2"/>
  <c r="U55" i="2" l="1"/>
  <c r="U60" i="2"/>
  <c r="U47" i="2"/>
  <c r="U56" i="2"/>
  <c r="I17" i="2"/>
  <c r="I29" i="2" s="1"/>
  <c r="V21" i="2"/>
  <c r="V7" i="2"/>
  <c r="V8" i="2" s="1"/>
  <c r="V11" i="2"/>
  <c r="U11" i="2"/>
  <c r="U12" i="2" s="1"/>
  <c r="T11" i="2"/>
  <c r="T12" i="2" s="1"/>
  <c r="T25" i="2" s="1"/>
  <c r="S11" i="2"/>
  <c r="S12" i="2" s="1"/>
  <c r="S25" i="2" s="1"/>
  <c r="V56" i="2" l="1"/>
  <c r="V47" i="2"/>
  <c r="V60" i="2"/>
  <c r="V55" i="2"/>
  <c r="V12" i="2"/>
  <c r="I19" i="2"/>
  <c r="U25" i="2"/>
  <c r="V25" i="2"/>
  <c r="J13" i="2" l="1"/>
  <c r="J15" i="2" l="1"/>
  <c r="J16" i="2" s="1"/>
  <c r="R13" i="2"/>
  <c r="R29" i="2" l="1"/>
  <c r="R15" i="2"/>
  <c r="J17" i="2"/>
  <c r="J29" i="2" s="1"/>
  <c r="R16" i="2"/>
  <c r="J19" i="2" l="1"/>
  <c r="R17" i="2"/>
  <c r="S13" i="2"/>
  <c r="S15" i="2" s="1"/>
  <c r="S16" i="2" s="1"/>
  <c r="S29" i="2" l="1"/>
  <c r="T13" i="2" s="1"/>
  <c r="T15" i="2" s="1"/>
  <c r="T16" i="2" s="1"/>
  <c r="S17" i="2"/>
  <c r="R19" i="2"/>
  <c r="R44" i="2"/>
  <c r="R57" i="2" s="1"/>
  <c r="R62" i="2" s="1"/>
  <c r="T29" i="2" l="1"/>
  <c r="S44" i="2"/>
  <c r="S57" i="2" s="1"/>
  <c r="S62" i="2" s="1"/>
  <c r="S19" i="2"/>
  <c r="U13" i="2"/>
  <c r="U15" i="2" s="1"/>
  <c r="U16" i="2" s="1"/>
  <c r="T17" i="2"/>
  <c r="U29" i="2" l="1"/>
  <c r="T19" i="2"/>
  <c r="T44" i="2"/>
  <c r="T57" i="2" s="1"/>
  <c r="T62" i="2" s="1"/>
  <c r="V13" i="2"/>
  <c r="V15" i="2" s="1"/>
  <c r="V29" i="2"/>
  <c r="U17" i="2"/>
  <c r="V16" i="2" l="1"/>
  <c r="V17" i="2" s="1"/>
  <c r="U44" i="2"/>
  <c r="U57" i="2" s="1"/>
  <c r="U62" i="2" s="1"/>
  <c r="U19" i="2"/>
  <c r="V44" i="2" l="1"/>
  <c r="V57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BU62" i="2" s="1"/>
  <c r="BV62" i="2" s="1"/>
  <c r="BW62" i="2" s="1"/>
  <c r="BX62" i="2" s="1"/>
  <c r="BY62" i="2" s="1"/>
  <c r="BZ62" i="2" s="1"/>
  <c r="CA62" i="2" s="1"/>
  <c r="CB62" i="2" s="1"/>
  <c r="CC62" i="2" s="1"/>
  <c r="CD62" i="2" s="1"/>
  <c r="CE62" i="2" s="1"/>
  <c r="CF62" i="2" s="1"/>
  <c r="CG62" i="2" s="1"/>
  <c r="CH62" i="2" s="1"/>
  <c r="CI62" i="2" s="1"/>
  <c r="CJ62" i="2" s="1"/>
  <c r="CK62" i="2" s="1"/>
  <c r="CL62" i="2" s="1"/>
  <c r="CM62" i="2" s="1"/>
  <c r="CN62" i="2" s="1"/>
  <c r="CO62" i="2" s="1"/>
  <c r="CP62" i="2" s="1"/>
  <c r="CQ62" i="2" s="1"/>
  <c r="CR62" i="2" s="1"/>
  <c r="CS62" i="2" s="1"/>
  <c r="CT62" i="2" s="1"/>
  <c r="CU62" i="2" s="1"/>
  <c r="CV62" i="2" s="1"/>
  <c r="CW62" i="2" s="1"/>
  <c r="CX62" i="2" s="1"/>
  <c r="CY62" i="2" s="1"/>
  <c r="CZ62" i="2" s="1"/>
  <c r="DA62" i="2" s="1"/>
  <c r="DB62" i="2" s="1"/>
  <c r="DC62" i="2" s="1"/>
  <c r="DD62" i="2" s="1"/>
  <c r="DE62" i="2" s="1"/>
  <c r="DF62" i="2" s="1"/>
  <c r="DG62" i="2" s="1"/>
  <c r="DH62" i="2" s="1"/>
  <c r="DI62" i="2" s="1"/>
  <c r="DJ62" i="2" s="1"/>
  <c r="DK62" i="2" s="1"/>
  <c r="DL62" i="2" s="1"/>
  <c r="DM62" i="2" s="1"/>
  <c r="DN62" i="2" s="1"/>
  <c r="DO62" i="2" s="1"/>
  <c r="DP62" i="2" s="1"/>
  <c r="DQ62" i="2" s="1"/>
  <c r="DR62" i="2" s="1"/>
  <c r="DS62" i="2" s="1"/>
  <c r="DT62" i="2" s="1"/>
  <c r="DU62" i="2" s="1"/>
  <c r="Y57" i="2" s="1"/>
  <c r="Y58" i="2" s="1"/>
  <c r="Y59" i="2" s="1"/>
  <c r="V19" i="2"/>
  <c r="W17" i="2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tc={7E11744B-D5AB-4208-9165-DA43F82432E9}</author>
  </authors>
  <commentList>
    <comment ref="G5" authorId="0" shapeId="0" xr:uid="{7E11744B-D5AB-4208-9165-DA43F82432E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70% of rev</t>
      </text>
    </comment>
  </commentList>
</comments>
</file>

<file path=xl/sharedStrings.xml><?xml version="1.0" encoding="utf-8"?>
<sst xmlns="http://schemas.openxmlformats.org/spreadsheetml/2006/main" count="95" uniqueCount="83">
  <si>
    <t>Price</t>
  </si>
  <si>
    <t>Shares</t>
  </si>
  <si>
    <t>MC</t>
  </si>
  <si>
    <t>Cash</t>
  </si>
  <si>
    <t>Debt</t>
  </si>
  <si>
    <t>EV</t>
  </si>
  <si>
    <t>Q424</t>
  </si>
  <si>
    <t>Revenue</t>
  </si>
  <si>
    <t>COGS</t>
  </si>
  <si>
    <t>Gross Profit</t>
  </si>
  <si>
    <t>R&amp;D</t>
  </si>
  <si>
    <t>SG&amp;A</t>
  </si>
  <si>
    <t>OPEX</t>
  </si>
  <si>
    <t>Operating Income</t>
  </si>
  <si>
    <t>Interest</t>
  </si>
  <si>
    <t>Other</t>
  </si>
  <si>
    <t>Pretax Income</t>
  </si>
  <si>
    <t>Tax</t>
  </si>
  <si>
    <t>Net Income</t>
  </si>
  <si>
    <t>EPS</t>
  </si>
  <si>
    <t>Revenue Growth y/y</t>
  </si>
  <si>
    <t>Revenue Growth q/q</t>
  </si>
  <si>
    <t>Gross Margin</t>
  </si>
  <si>
    <t>Q124</t>
  </si>
  <si>
    <t>Q224</t>
  </si>
  <si>
    <t>Q324</t>
  </si>
  <si>
    <t>Q125</t>
  </si>
  <si>
    <t>Net Cash</t>
  </si>
  <si>
    <t>AR</t>
  </si>
  <si>
    <t>AP</t>
  </si>
  <si>
    <t>NPV</t>
  </si>
  <si>
    <t>Maturity</t>
  </si>
  <si>
    <t>ROIC</t>
  </si>
  <si>
    <t>Discount</t>
  </si>
  <si>
    <t>Diff</t>
  </si>
  <si>
    <t>Model NI</t>
  </si>
  <si>
    <t>Reported NI</t>
  </si>
  <si>
    <t>Q425</t>
  </si>
  <si>
    <t>Q225</t>
  </si>
  <si>
    <t>Q325</t>
  </si>
  <si>
    <t>Operating Margin</t>
  </si>
  <si>
    <t>Main</t>
  </si>
  <si>
    <t>Hopper</t>
  </si>
  <si>
    <t>Blackwell 2025</t>
  </si>
  <si>
    <t>Rubin 2026</t>
  </si>
  <si>
    <t>Rubin Ultra 2027</t>
  </si>
  <si>
    <t>60% improvement on hopper</t>
  </si>
  <si>
    <t>OPEX Margin</t>
  </si>
  <si>
    <t>FCF Margin</t>
  </si>
  <si>
    <t>Data Center Rev</t>
  </si>
  <si>
    <t>CFFO</t>
  </si>
  <si>
    <t>FCF</t>
  </si>
  <si>
    <t>Blackwell Ultra</t>
  </si>
  <si>
    <t>HUMAIN partnership</t>
  </si>
  <si>
    <t>Foxconn Taiwan AI factory supercomputer</t>
  </si>
  <si>
    <t>NVLink Fusion</t>
  </si>
  <si>
    <t>NVIDIA Spectrum-X * NVIDIA Quantum-X</t>
  </si>
  <si>
    <t>DGX SuperPOD</t>
  </si>
  <si>
    <t>Google joint-initiative</t>
  </si>
  <si>
    <t>NVIDIA inference software integration w/ Oracle</t>
  </si>
  <si>
    <t>NVIDIA Blackwell cloud now available on AWS, Google Cloud, Azure, Oracle Cloud</t>
  </si>
  <si>
    <t>DGX Cloud Lepton</t>
  </si>
  <si>
    <t>Llama Nemotron</t>
  </si>
  <si>
    <t>NVIDIA AI Data Platform</t>
  </si>
  <si>
    <t>Gaming Rev</t>
  </si>
  <si>
    <t>Professional Visualization</t>
  </si>
  <si>
    <t>Automotive &amp; Robotics</t>
  </si>
  <si>
    <t>Inventories</t>
  </si>
  <si>
    <t>OLL</t>
  </si>
  <si>
    <t>OLTL</t>
  </si>
  <si>
    <t>L+SE</t>
  </si>
  <si>
    <t>SE</t>
  </si>
  <si>
    <t>Liabiltiies</t>
  </si>
  <si>
    <t>Assets</t>
  </si>
  <si>
    <t>Stargate UAE 500B project</t>
  </si>
  <si>
    <t>SBC</t>
  </si>
  <si>
    <t>D&amp;A</t>
  </si>
  <si>
    <t>DT</t>
  </si>
  <si>
    <t>Gains on Securities</t>
  </si>
  <si>
    <t>Prepaids</t>
  </si>
  <si>
    <t>Accrued Liabilties</t>
  </si>
  <si>
    <t>PP&amp;E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</si>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</sst>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3" fontId="4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10" fontId="1" fillId="0" borderId="0" xfId="0" applyNumberFormat="1" applyFont="1"/>
    <xf numFmtId="0" fontId="3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9525</xdr:rowOff>
    </xdr:from>
    <xdr:to>
      <xdr:col>7</xdr:col>
      <xdr:colOff>28575</xdr:colOff>
      <xdr:row>73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78CE67-E160-B97F-9ED5-8075185E0983}"/>
            </a:ext>
          </a:extLst>
        </xdr:cNvPr>
        <xdr:cNvCxnSpPr/>
      </xdr:nvCxnSpPr>
      <xdr:spPr>
        <a:xfrm>
          <a:off x="4819650" y="9525"/>
          <a:ext cx="38100" cy="12087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38100</xdr:colOff>
      <xdr:row>73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5C79990-BAC3-448E-9B59-F20A57DBC028}"/>
            </a:ext>
          </a:extLst>
        </xdr:cNvPr>
        <xdr:cNvCxnSpPr/>
      </xdr:nvCxnSpPr>
      <xdr:spPr>
        <a:xfrm>
          <a:off x="11010900" y="0"/>
          <a:ext cx="38100" cy="11820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BA57726-1A28-4F09-A828-A7B9F4B7C04C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5-05-29T00:24:41.76" personId="{7BA57726-1A28-4F09-A828-A7B9F4B7C04C}" id="{7E11744B-D5AB-4208-9165-DA43F82432E9}">
    <text>Blackwell 70% of rev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A77-31DD-4330-BECC-4D64D4EAFB80}">
  <dimension ref="A1:P24"/>
  <sheetViews>
    <sheetView zoomScale="115" zoomScaleNormal="115" workbookViewId="0">
      <selection activeCell="O3" sqref="O3"/>
    </sheetView>
  </sheetViews>
  <sheetFormatPr defaultRowHeight="12.75" x14ac:dyDescent="0.2"/>
  <cols>
    <col min="1" max="3" width="9.140625" style="10"/>
    <col min="4" max="4" width="10.42578125" style="10" customWidth="1"/>
    <col min="5" max="5" width="9.85546875" style="10" customWidth="1"/>
    <col min="6" max="14" width="9.140625" style="10"/>
    <col min="15" max="15" width="10.42578125" style="10" customWidth="1"/>
    <col min="16" max="16384" width="9.140625" style="10"/>
  </cols>
  <sheetData>
    <row r="1" spans="1:16" x14ac:dyDescent="0.2">
      <c r="A1" s="9"/>
    </row>
    <row r="2" spans="1:16" x14ac:dyDescent="0.2">
      <c r="N2" s="10" t="s">
        <v>0</v>
      </c>
      <c r="O2" s="5">
        <v>155</v>
      </c>
    </row>
    <row r="3" spans="1:16" x14ac:dyDescent="0.2">
      <c r="N3" s="10" t="s">
        <v>1</v>
      </c>
      <c r="O3" s="2">
        <v>24400</v>
      </c>
      <c r="P3" s="10" t="s">
        <v>26</v>
      </c>
    </row>
    <row r="4" spans="1:16" x14ac:dyDescent="0.2">
      <c r="N4" s="10" t="s">
        <v>2</v>
      </c>
      <c r="O4" s="2">
        <f>O3*O2</f>
        <v>3782000</v>
      </c>
    </row>
    <row r="5" spans="1:16" x14ac:dyDescent="0.2">
      <c r="D5" s="10" t="s">
        <v>42</v>
      </c>
      <c r="E5" s="10">
        <v>2022</v>
      </c>
      <c r="N5" s="10" t="s">
        <v>3</v>
      </c>
      <c r="O5" s="2">
        <v>53691</v>
      </c>
      <c r="P5" s="10" t="s">
        <v>26</v>
      </c>
    </row>
    <row r="6" spans="1:16" x14ac:dyDescent="0.2">
      <c r="D6" s="10" t="s">
        <v>43</v>
      </c>
      <c r="F6" s="10" t="s">
        <v>46</v>
      </c>
      <c r="N6" s="10" t="s">
        <v>4</v>
      </c>
      <c r="O6" s="2">
        <v>14869</v>
      </c>
      <c r="P6" s="10" t="s">
        <v>26</v>
      </c>
    </row>
    <row r="7" spans="1:16" x14ac:dyDescent="0.2">
      <c r="D7" s="10" t="s">
        <v>52</v>
      </c>
      <c r="N7" s="10" t="s">
        <v>5</v>
      </c>
      <c r="O7" s="2">
        <f>O4+O6-O5</f>
        <v>3743178</v>
      </c>
    </row>
    <row r="8" spans="1:16" x14ac:dyDescent="0.2">
      <c r="D8" s="10" t="s">
        <v>44</v>
      </c>
    </row>
    <row r="9" spans="1:16" x14ac:dyDescent="0.2">
      <c r="D9" s="10" t="s">
        <v>45</v>
      </c>
    </row>
    <row r="13" spans="1:16" x14ac:dyDescent="0.2">
      <c r="D13" s="10" t="s">
        <v>74</v>
      </c>
    </row>
    <row r="14" spans="1:16" x14ac:dyDescent="0.2">
      <c r="D14" s="10" t="s">
        <v>53</v>
      </c>
    </row>
    <row r="15" spans="1:16" x14ac:dyDescent="0.2">
      <c r="D15" s="10" t="s">
        <v>54</v>
      </c>
    </row>
    <row r="16" spans="1:16" x14ac:dyDescent="0.2">
      <c r="D16" s="10" t="s">
        <v>55</v>
      </c>
    </row>
    <row r="17" spans="4:4" x14ac:dyDescent="0.2">
      <c r="D17" s="10" t="s">
        <v>56</v>
      </c>
    </row>
    <row r="18" spans="4:4" x14ac:dyDescent="0.2">
      <c r="D18" s="10" t="s">
        <v>57</v>
      </c>
    </row>
    <row r="19" spans="4:4" x14ac:dyDescent="0.2">
      <c r="D19" s="10" t="s">
        <v>58</v>
      </c>
    </row>
    <row r="20" spans="4:4" x14ac:dyDescent="0.2">
      <c r="D20" s="10" t="s">
        <v>59</v>
      </c>
    </row>
    <row r="21" spans="4:4" x14ac:dyDescent="0.2">
      <c r="D21" s="10" t="s">
        <v>60</v>
      </c>
    </row>
    <row r="22" spans="4:4" x14ac:dyDescent="0.2">
      <c r="D22" s="10" t="s">
        <v>61</v>
      </c>
    </row>
    <row r="23" spans="4:4" x14ac:dyDescent="0.2">
      <c r="D23" s="10" t="s">
        <v>62</v>
      </c>
    </row>
    <row r="24" spans="4:4" x14ac:dyDescent="0.2">
      <c r="D24" s="10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BE28-398D-4CC8-A7C9-E94B6BC720A8}">
  <dimension ref="A1:EM62"/>
  <sheetViews>
    <sheetView tabSelected="1" zoomScale="130" zoomScaleNormal="130" workbookViewId="0">
      <pane xSplit="2" ySplit="1" topLeftCell="O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defaultRowHeight="12.75" x14ac:dyDescent="0.2"/>
  <cols>
    <col min="1" max="1" width="5" style="2" customWidth="1"/>
    <col min="2" max="2" width="24.7109375" style="2" customWidth="1"/>
    <col min="3" max="5" width="9.140625" style="2"/>
    <col min="6" max="10" width="9.28515625" style="2" bestFit="1" customWidth="1"/>
    <col min="11" max="11" width="9.140625" style="2"/>
    <col min="12" max="24" width="9.28515625" style="2" bestFit="1" customWidth="1"/>
    <col min="25" max="25" width="10.140625" style="2" bestFit="1" customWidth="1"/>
    <col min="26" max="119" width="9.28515625" style="2" bestFit="1" customWidth="1"/>
    <col min="120" max="143" width="10.140625" style="2" bestFit="1" customWidth="1"/>
    <col min="144" max="16384" width="9.140625" style="2"/>
  </cols>
  <sheetData>
    <row r="1" spans="1:26" ht="13.5" x14ac:dyDescent="0.25">
      <c r="A1" s="1" t="s">
        <v>41</v>
      </c>
      <c r="C1" s="2" t="s">
        <v>23</v>
      </c>
      <c r="D1" s="2" t="s">
        <v>24</v>
      </c>
      <c r="E1" s="2" t="s">
        <v>25</v>
      </c>
      <c r="F1" s="2" t="s">
        <v>6</v>
      </c>
      <c r="G1" s="2" t="s">
        <v>26</v>
      </c>
      <c r="H1" s="2" t="s">
        <v>38</v>
      </c>
      <c r="I1" s="2" t="s">
        <v>39</v>
      </c>
      <c r="J1" s="2" t="s">
        <v>37</v>
      </c>
      <c r="L1" s="3">
        <v>2020</v>
      </c>
      <c r="M1" s="3">
        <v>2021</v>
      </c>
      <c r="N1" s="3">
        <f>M1+1</f>
        <v>2022</v>
      </c>
      <c r="O1" s="3">
        <f t="shared" ref="O1:W1" si="0">N1+1</f>
        <v>2023</v>
      </c>
      <c r="P1" s="3">
        <f t="shared" si="0"/>
        <v>2024</v>
      </c>
      <c r="Q1" s="3">
        <f t="shared" si="0"/>
        <v>2025</v>
      </c>
      <c r="R1" s="3">
        <f t="shared" si="0"/>
        <v>2026</v>
      </c>
      <c r="S1" s="3">
        <f t="shared" si="0"/>
        <v>2027</v>
      </c>
      <c r="T1" s="3">
        <f t="shared" si="0"/>
        <v>2028</v>
      </c>
      <c r="U1" s="3">
        <f t="shared" si="0"/>
        <v>2029</v>
      </c>
      <c r="V1" s="3">
        <f t="shared" si="0"/>
        <v>2030</v>
      </c>
    </row>
    <row r="2" spans="1:26" ht="13.5" x14ac:dyDescent="0.25">
      <c r="A2" s="1"/>
      <c r="B2" s="2" t="s">
        <v>66</v>
      </c>
      <c r="G2" s="2">
        <v>567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6" ht="13.5" x14ac:dyDescent="0.25">
      <c r="A3" s="1"/>
      <c r="B3" s="2" t="s">
        <v>65</v>
      </c>
      <c r="G3" s="2">
        <v>509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ht="13.5" x14ac:dyDescent="0.25">
      <c r="A4" s="1"/>
      <c r="B4" s="2" t="s">
        <v>64</v>
      </c>
      <c r="G4" s="2">
        <v>3800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6" ht="13.5" x14ac:dyDescent="0.25">
      <c r="A5" s="1"/>
      <c r="B5" s="2" t="s">
        <v>49</v>
      </c>
      <c r="G5" s="2">
        <f>39100</f>
        <v>39100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6" s="4" customFormat="1" x14ac:dyDescent="0.2">
      <c r="B6" s="4" t="s">
        <v>7</v>
      </c>
      <c r="C6" s="4">
        <v>26044</v>
      </c>
      <c r="F6" s="4">
        <v>39300</v>
      </c>
      <c r="G6" s="4">
        <f>SUM(G2:G5)</f>
        <v>43976</v>
      </c>
      <c r="H6" s="4">
        <v>46000</v>
      </c>
      <c r="I6" s="4">
        <f>H6*1.13</f>
        <v>51979.999999999993</v>
      </c>
      <c r="J6" s="4">
        <f>I6*1.12</f>
        <v>58217.599999999999</v>
      </c>
      <c r="O6" s="4">
        <v>26974</v>
      </c>
      <c r="P6" s="4">
        <v>60922</v>
      </c>
      <c r="Q6" s="4">
        <v>130497</v>
      </c>
      <c r="R6" s="4">
        <f>SUM(G6:J6)</f>
        <v>200173.6</v>
      </c>
      <c r="S6" s="4">
        <f>R6*1.34</f>
        <v>268232.62400000001</v>
      </c>
      <c r="T6" s="4">
        <f t="shared" ref="T6:V6" si="1">S6*1.34</f>
        <v>359431.71616000001</v>
      </c>
      <c r="U6" s="4">
        <f t="shared" si="1"/>
        <v>481638.49965440005</v>
      </c>
      <c r="V6" s="4">
        <f t="shared" si="1"/>
        <v>645395.58953689609</v>
      </c>
    </row>
    <row r="7" spans="1:26" x14ac:dyDescent="0.2">
      <c r="B7" s="2" t="s">
        <v>8</v>
      </c>
      <c r="C7" s="2">
        <v>5638</v>
      </c>
      <c r="G7" s="2">
        <v>17394</v>
      </c>
      <c r="H7" s="2">
        <f>H6*(1-H24)</f>
        <v>12880.000000000002</v>
      </c>
      <c r="I7" s="2">
        <f>I6*(1-I24)</f>
        <v>13805.888000000001</v>
      </c>
      <c r="J7" s="2">
        <f>J6*(1-J24)</f>
        <v>14607.4944512</v>
      </c>
      <c r="O7" s="2">
        <v>11618</v>
      </c>
      <c r="P7" s="2">
        <v>16621</v>
      </c>
      <c r="Q7" s="2">
        <v>32639</v>
      </c>
      <c r="R7" s="2">
        <f>SUM(G7:J7)</f>
        <v>58687.382451199999</v>
      </c>
      <c r="S7" s="2">
        <f>S6*(1-S24)</f>
        <v>69740.482240000012</v>
      </c>
      <c r="T7" s="2">
        <f>T6*(1-T24)</f>
        <v>93452.246201600006</v>
      </c>
      <c r="U7" s="2">
        <f>U6*(1-U24)</f>
        <v>125226.00991014401</v>
      </c>
      <c r="V7" s="2">
        <f>V6*(1-V24)</f>
        <v>167802.85327959299</v>
      </c>
      <c r="Z7" s="4"/>
    </row>
    <row r="8" spans="1:26" x14ac:dyDescent="0.2">
      <c r="B8" s="2" t="s">
        <v>9</v>
      </c>
      <c r="C8" s="2">
        <f>C6-C7</f>
        <v>20406</v>
      </c>
      <c r="D8" s="2">
        <f t="shared" ref="D8:J8" si="2">D6-D7</f>
        <v>0</v>
      </c>
      <c r="E8" s="2">
        <f t="shared" si="2"/>
        <v>0</v>
      </c>
      <c r="F8" s="2">
        <f t="shared" si="2"/>
        <v>39300</v>
      </c>
      <c r="G8" s="2">
        <f t="shared" si="2"/>
        <v>26582</v>
      </c>
      <c r="H8" s="2">
        <f t="shared" si="2"/>
        <v>33120</v>
      </c>
      <c r="I8" s="2">
        <f t="shared" si="2"/>
        <v>38174.111999999994</v>
      </c>
      <c r="J8" s="2">
        <f t="shared" si="2"/>
        <v>43610.105548799998</v>
      </c>
      <c r="L8" s="2">
        <f t="shared" ref="L8:V8" si="3">L6-L7</f>
        <v>0</v>
      </c>
      <c r="M8" s="2">
        <f t="shared" si="3"/>
        <v>0</v>
      </c>
      <c r="N8" s="2">
        <f t="shared" si="3"/>
        <v>0</v>
      </c>
      <c r="O8" s="2">
        <f t="shared" si="3"/>
        <v>15356</v>
      </c>
      <c r="P8" s="2">
        <f t="shared" si="3"/>
        <v>44301</v>
      </c>
      <c r="Q8" s="2">
        <f t="shared" si="3"/>
        <v>97858</v>
      </c>
      <c r="R8" s="2">
        <f t="shared" si="3"/>
        <v>141486.21754879999</v>
      </c>
      <c r="S8" s="2">
        <f t="shared" si="3"/>
        <v>198492.14176</v>
      </c>
      <c r="T8" s="2">
        <f t="shared" si="3"/>
        <v>265979.4699584</v>
      </c>
      <c r="U8" s="2">
        <f t="shared" si="3"/>
        <v>356412.48974425602</v>
      </c>
      <c r="V8" s="2">
        <f t="shared" si="3"/>
        <v>477592.7362573031</v>
      </c>
      <c r="Z8" s="4"/>
    </row>
    <row r="9" spans="1:26" x14ac:dyDescent="0.2">
      <c r="B9" s="2" t="s">
        <v>10</v>
      </c>
      <c r="C9" s="2">
        <v>2720</v>
      </c>
      <c r="G9" s="2">
        <v>3989</v>
      </c>
      <c r="O9" s="2">
        <v>7339</v>
      </c>
      <c r="P9" s="2">
        <v>8675</v>
      </c>
      <c r="Q9" s="2">
        <v>12914</v>
      </c>
      <c r="Z9" s="4"/>
    </row>
    <row r="10" spans="1:26" x14ac:dyDescent="0.2">
      <c r="B10" s="2" t="s">
        <v>11</v>
      </c>
      <c r="C10" s="2">
        <v>777</v>
      </c>
      <c r="G10" s="2">
        <v>1041</v>
      </c>
      <c r="O10" s="2">
        <v>2440</v>
      </c>
      <c r="P10" s="2">
        <v>2654</v>
      </c>
      <c r="Q10" s="2">
        <v>3491</v>
      </c>
      <c r="Z10" s="4"/>
    </row>
    <row r="11" spans="1:26" x14ac:dyDescent="0.2">
      <c r="B11" s="2" t="s">
        <v>12</v>
      </c>
      <c r="C11" s="2">
        <f>SUM(C9:C10)</f>
        <v>3497</v>
      </c>
      <c r="D11" s="2">
        <f t="shared" ref="D11:G11" si="4">SUM(D9:D10)</f>
        <v>0</v>
      </c>
      <c r="E11" s="2">
        <f t="shared" si="4"/>
        <v>0</v>
      </c>
      <c r="F11" s="2">
        <f t="shared" si="4"/>
        <v>0</v>
      </c>
      <c r="G11" s="2">
        <f t="shared" si="4"/>
        <v>5030</v>
      </c>
      <c r="H11" s="2">
        <f>H6*H26</f>
        <v>7820.0000000000009</v>
      </c>
      <c r="I11" s="2">
        <f>I6*I26</f>
        <v>8836.5999999999985</v>
      </c>
      <c r="J11" s="2">
        <f>J6*J26</f>
        <v>9896.9920000000002</v>
      </c>
      <c r="L11" s="2">
        <f>SUM(L9:L10)</f>
        <v>0</v>
      </c>
      <c r="M11" s="2">
        <f>SUM(M9:M10)</f>
        <v>0</v>
      </c>
      <c r="N11" s="2">
        <f t="shared" ref="N11:Q11" si="5">SUM(N9:N10)</f>
        <v>0</v>
      </c>
      <c r="O11" s="2">
        <f t="shared" si="5"/>
        <v>9779</v>
      </c>
      <c r="P11" s="2">
        <f t="shared" si="5"/>
        <v>11329</v>
      </c>
      <c r="Q11" s="2">
        <f t="shared" si="5"/>
        <v>16405</v>
      </c>
      <c r="R11" s="2">
        <f>SUM(G11:J11)</f>
        <v>31583.591999999997</v>
      </c>
      <c r="S11" s="2">
        <f>S6*S26</f>
        <v>42917.219840000005</v>
      </c>
      <c r="T11" s="2">
        <f>T6*T26</f>
        <v>57509.074585599999</v>
      </c>
      <c r="U11" s="2">
        <f>U6*U26</f>
        <v>77062.159944704006</v>
      </c>
      <c r="V11" s="2">
        <f>V6*V26</f>
        <v>103263.29432590338</v>
      </c>
      <c r="Z11" s="4"/>
    </row>
    <row r="12" spans="1:26" x14ac:dyDescent="0.2">
      <c r="B12" s="2" t="s">
        <v>13</v>
      </c>
      <c r="C12" s="2">
        <f>C8-C11</f>
        <v>16909</v>
      </c>
      <c r="D12" s="2">
        <f t="shared" ref="D12:J12" si="6">D8-D11</f>
        <v>0</v>
      </c>
      <c r="E12" s="2">
        <f t="shared" si="6"/>
        <v>0</v>
      </c>
      <c r="F12" s="2">
        <f t="shared" si="6"/>
        <v>39300</v>
      </c>
      <c r="G12" s="2">
        <f t="shared" si="6"/>
        <v>21552</v>
      </c>
      <c r="H12" s="2">
        <f t="shared" si="6"/>
        <v>25300</v>
      </c>
      <c r="I12" s="2">
        <f t="shared" si="6"/>
        <v>29337.511999999995</v>
      </c>
      <c r="J12" s="2">
        <f t="shared" si="6"/>
        <v>33713.1135488</v>
      </c>
      <c r="L12" s="2">
        <f>L8-L11</f>
        <v>0</v>
      </c>
      <c r="M12" s="2">
        <f>M8-M11</f>
        <v>0</v>
      </c>
      <c r="N12" s="2">
        <f t="shared" ref="N12:Q12" si="7">N8-N11</f>
        <v>0</v>
      </c>
      <c r="O12" s="2">
        <f t="shared" si="7"/>
        <v>5577</v>
      </c>
      <c r="P12" s="2">
        <f t="shared" si="7"/>
        <v>32972</v>
      </c>
      <c r="Q12" s="2">
        <f t="shared" si="7"/>
        <v>81453</v>
      </c>
      <c r="R12" s="2">
        <f>R8-R11</f>
        <v>109902.62554879999</v>
      </c>
      <c r="S12" s="2">
        <f t="shared" ref="S12:V12" si="8">S8-S11</f>
        <v>155574.92191999999</v>
      </c>
      <c r="T12" s="2">
        <f t="shared" si="8"/>
        <v>208470.39537280001</v>
      </c>
      <c r="U12" s="2">
        <f t="shared" si="8"/>
        <v>279350.32979955198</v>
      </c>
      <c r="V12" s="2">
        <f t="shared" si="8"/>
        <v>374329.44193139975</v>
      </c>
      <c r="Z12" s="4"/>
    </row>
    <row r="13" spans="1:26" x14ac:dyDescent="0.2">
      <c r="B13" s="2" t="s">
        <v>14</v>
      </c>
      <c r="C13" s="2">
        <f>359-64</f>
        <v>295</v>
      </c>
      <c r="G13" s="2">
        <f>515-63</f>
        <v>452</v>
      </c>
      <c r="H13" s="2">
        <f>G29*$Y$54/4</f>
        <v>194.11</v>
      </c>
      <c r="I13" s="2">
        <f>H29*$Y$54/4</f>
        <v>296.08643999999998</v>
      </c>
      <c r="J13" s="2">
        <f>I29*$Y$54/4</f>
        <v>414.62083375999998</v>
      </c>
      <c r="L13" s="2">
        <f>K29*$Y$54</f>
        <v>0</v>
      </c>
      <c r="M13" s="2">
        <f>L29*$Y$54</f>
        <v>0</v>
      </c>
      <c r="N13" s="2">
        <f>M29*$Y$54</f>
        <v>0</v>
      </c>
      <c r="O13" s="2">
        <f>267-262</f>
        <v>5</v>
      </c>
      <c r="P13" s="2">
        <f>866-257</f>
        <v>609</v>
      </c>
      <c r="Q13" s="2">
        <f>1786-247</f>
        <v>1539</v>
      </c>
      <c r="R13" s="2">
        <f>SUM(G13:J13)</f>
        <v>1356.8172737599998</v>
      </c>
      <c r="S13" s="2">
        <f>R29*$Y$54</f>
        <v>637.17634547520004</v>
      </c>
      <c r="T13" s="2">
        <f>S29*$Y$54</f>
        <v>649.91987238470404</v>
      </c>
      <c r="U13" s="2">
        <f>T29*$Y$54</f>
        <v>662.9182698323981</v>
      </c>
      <c r="V13" s="2">
        <f>U29*$Y$54</f>
        <v>676.17663522904604</v>
      </c>
      <c r="Z13" s="4"/>
    </row>
    <row r="14" spans="1:26" x14ac:dyDescent="0.2">
      <c r="B14" s="2" t="s">
        <v>15</v>
      </c>
      <c r="C14" s="2">
        <v>75</v>
      </c>
      <c r="G14" s="2">
        <v>-180</v>
      </c>
      <c r="O14" s="2">
        <v>-48</v>
      </c>
      <c r="P14" s="2">
        <v>237</v>
      </c>
      <c r="Q14" s="2">
        <v>1034</v>
      </c>
      <c r="R14" s="2">
        <f>SUM(G14:J14)</f>
        <v>-180</v>
      </c>
      <c r="S14" s="2">
        <v>0</v>
      </c>
      <c r="T14" s="2">
        <f t="shared" ref="T14:V14" si="9">S14*1.02</f>
        <v>0</v>
      </c>
      <c r="U14" s="2">
        <f t="shared" si="9"/>
        <v>0</v>
      </c>
      <c r="V14" s="2">
        <f t="shared" si="9"/>
        <v>0</v>
      </c>
      <c r="Z14" s="4"/>
    </row>
    <row r="15" spans="1:26" x14ac:dyDescent="0.2">
      <c r="B15" s="2" t="s">
        <v>16</v>
      </c>
      <c r="C15" s="2">
        <f>C12+SUM(C13:C14)</f>
        <v>17279</v>
      </c>
      <c r="D15" s="2">
        <f t="shared" ref="D15:J15" si="10">D12+SUM(D13:D14)</f>
        <v>0</v>
      </c>
      <c r="E15" s="2">
        <f t="shared" si="10"/>
        <v>0</v>
      </c>
      <c r="F15" s="2">
        <f t="shared" si="10"/>
        <v>39300</v>
      </c>
      <c r="G15" s="2">
        <f t="shared" si="10"/>
        <v>21824</v>
      </c>
      <c r="H15" s="2">
        <f t="shared" si="10"/>
        <v>25494.11</v>
      </c>
      <c r="I15" s="2">
        <f t="shared" si="10"/>
        <v>29633.598439999994</v>
      </c>
      <c r="J15" s="2">
        <f t="shared" si="10"/>
        <v>34127.734382559996</v>
      </c>
      <c r="L15" s="2">
        <f>L12+SUM(L13:L14)</f>
        <v>0</v>
      </c>
      <c r="M15" s="2">
        <f>M12+SUM(M13:M14)</f>
        <v>0</v>
      </c>
      <c r="N15" s="2">
        <f t="shared" ref="N15:Q15" si="11">N12+SUM(N13:N14)</f>
        <v>0</v>
      </c>
      <c r="O15" s="2">
        <f t="shared" si="11"/>
        <v>5534</v>
      </c>
      <c r="P15" s="2">
        <f t="shared" si="11"/>
        <v>33818</v>
      </c>
      <c r="Q15" s="2">
        <f t="shared" si="11"/>
        <v>84026</v>
      </c>
      <c r="R15" s="2">
        <f>R12+SUM(R13:R14)</f>
        <v>111079.44282255998</v>
      </c>
      <c r="S15" s="2">
        <f t="shared" ref="S15:V15" si="12">S12+SUM(S13:S14)</f>
        <v>156212.09826547519</v>
      </c>
      <c r="T15" s="2">
        <f t="shared" si="12"/>
        <v>209120.3152451847</v>
      </c>
      <c r="U15" s="2">
        <f t="shared" si="12"/>
        <v>280013.24806938437</v>
      </c>
      <c r="V15" s="2">
        <f t="shared" si="12"/>
        <v>375005.61856662878</v>
      </c>
    </row>
    <row r="16" spans="1:26" x14ac:dyDescent="0.2">
      <c r="B16" s="2" t="s">
        <v>17</v>
      </c>
      <c r="C16" s="2">
        <v>2398</v>
      </c>
      <c r="G16" s="2">
        <v>3135</v>
      </c>
      <c r="H16" s="2">
        <f>H15*0.2</f>
        <v>5098.8220000000001</v>
      </c>
      <c r="I16" s="2">
        <f t="shared" ref="I16:J16" si="13">I15*0.2</f>
        <v>5926.7196879999992</v>
      </c>
      <c r="J16" s="2">
        <f t="shared" si="13"/>
        <v>6825.5468765119995</v>
      </c>
      <c r="O16" s="2">
        <v>-187</v>
      </c>
      <c r="P16" s="2">
        <v>4058</v>
      </c>
      <c r="Q16" s="2">
        <v>11146</v>
      </c>
      <c r="R16" s="2">
        <f>SUM(G16:J16)</f>
        <v>20986.088564512</v>
      </c>
      <c r="S16" s="2">
        <f>S15*0.2</f>
        <v>31242.419653095039</v>
      </c>
      <c r="T16" s="2">
        <f t="shared" ref="T16:V16" si="14">T15*0.2</f>
        <v>41824.063049036944</v>
      </c>
      <c r="U16" s="2">
        <f t="shared" si="14"/>
        <v>56002.649613876878</v>
      </c>
      <c r="V16" s="2">
        <f t="shared" si="14"/>
        <v>75001.123713325753</v>
      </c>
    </row>
    <row r="17" spans="1:143" s="4" customFormat="1" x14ac:dyDescent="0.2">
      <c r="B17" s="4" t="s">
        <v>18</v>
      </c>
      <c r="C17" s="4">
        <f>C15-C16</f>
        <v>14881</v>
      </c>
      <c r="D17" s="4">
        <f t="shared" ref="D17:J17" si="15">D15-D16</f>
        <v>0</v>
      </c>
      <c r="E17" s="4">
        <f t="shared" si="15"/>
        <v>0</v>
      </c>
      <c r="F17" s="4">
        <f t="shared" si="15"/>
        <v>39300</v>
      </c>
      <c r="G17" s="4">
        <f t="shared" si="15"/>
        <v>18689</v>
      </c>
      <c r="H17" s="4">
        <f t="shared" si="15"/>
        <v>20395.288</v>
      </c>
      <c r="I17" s="4">
        <f t="shared" si="15"/>
        <v>23706.878751999997</v>
      </c>
      <c r="J17" s="4">
        <f t="shared" si="15"/>
        <v>27302.187506047998</v>
      </c>
      <c r="L17" s="4">
        <f>L15-L16</f>
        <v>0</v>
      </c>
      <c r="M17" s="4">
        <f>M15-M16</f>
        <v>0</v>
      </c>
      <c r="N17" s="4">
        <f t="shared" ref="N17:Q17" si="16">N15-N16</f>
        <v>0</v>
      </c>
      <c r="O17" s="4">
        <f t="shared" si="16"/>
        <v>5721</v>
      </c>
      <c r="P17" s="4">
        <f t="shared" si="16"/>
        <v>29760</v>
      </c>
      <c r="Q17" s="4">
        <f t="shared" si="16"/>
        <v>72880</v>
      </c>
      <c r="R17" s="4">
        <f>R15-R16</f>
        <v>90093.354258047984</v>
      </c>
      <c r="S17" s="4">
        <f t="shared" ref="S17:V17" si="17">S15-S16</f>
        <v>124969.67861238014</v>
      </c>
      <c r="T17" s="4">
        <f t="shared" si="17"/>
        <v>167296.25219614775</v>
      </c>
      <c r="U17" s="4">
        <f t="shared" si="17"/>
        <v>224010.59845550748</v>
      </c>
      <c r="V17" s="4">
        <f t="shared" si="17"/>
        <v>300004.49485330301</v>
      </c>
      <c r="W17" s="4">
        <f t="shared" ref="W17:BB17" si="18">V17*(1+$Y$55)</f>
        <v>303004.53980183607</v>
      </c>
      <c r="X17" s="4">
        <f t="shared" si="18"/>
        <v>306034.58519985445</v>
      </c>
      <c r="Y17" s="4">
        <f t="shared" si="18"/>
        <v>309094.931051853</v>
      </c>
      <c r="Z17" s="4">
        <f t="shared" si="18"/>
        <v>312185.88036237151</v>
      </c>
      <c r="AA17" s="4">
        <f t="shared" si="18"/>
        <v>315307.73916599521</v>
      </c>
      <c r="AB17" s="4">
        <f t="shared" si="18"/>
        <v>318460.81655765517</v>
      </c>
      <c r="AC17" s="4">
        <f t="shared" si="18"/>
        <v>321645.4247232317</v>
      </c>
      <c r="AD17" s="4">
        <f t="shared" si="18"/>
        <v>324861.87897046399</v>
      </c>
      <c r="AE17" s="4">
        <f t="shared" si="18"/>
        <v>328110.49776016863</v>
      </c>
      <c r="AF17" s="4">
        <f t="shared" si="18"/>
        <v>331391.6027377703</v>
      </c>
      <c r="AG17" s="4">
        <f t="shared" si="18"/>
        <v>334705.51876514801</v>
      </c>
      <c r="AH17" s="4">
        <f t="shared" si="18"/>
        <v>338052.57395279949</v>
      </c>
      <c r="AI17" s="4">
        <f t="shared" si="18"/>
        <v>341433.09969232749</v>
      </c>
      <c r="AJ17" s="4">
        <f t="shared" si="18"/>
        <v>344847.43068925076</v>
      </c>
      <c r="AK17" s="4">
        <f t="shared" si="18"/>
        <v>348295.90499614325</v>
      </c>
      <c r="AL17" s="4">
        <f t="shared" si="18"/>
        <v>351778.86404610466</v>
      </c>
      <c r="AM17" s="4">
        <f t="shared" si="18"/>
        <v>355296.65268656571</v>
      </c>
      <c r="AN17" s="4">
        <f t="shared" si="18"/>
        <v>358849.61921343138</v>
      </c>
      <c r="AO17" s="4">
        <f t="shared" si="18"/>
        <v>362438.11540556571</v>
      </c>
      <c r="AP17" s="4">
        <f t="shared" si="18"/>
        <v>366062.49655962136</v>
      </c>
      <c r="AQ17" s="4">
        <f t="shared" si="18"/>
        <v>369723.1215252176</v>
      </c>
      <c r="AR17" s="4">
        <f t="shared" si="18"/>
        <v>373420.3527404698</v>
      </c>
      <c r="AS17" s="4">
        <f t="shared" si="18"/>
        <v>377154.55626787449</v>
      </c>
      <c r="AT17" s="4">
        <f t="shared" si="18"/>
        <v>380926.10183055326</v>
      </c>
      <c r="AU17" s="4">
        <f t="shared" si="18"/>
        <v>384735.36284885881</v>
      </c>
      <c r="AV17" s="4">
        <f t="shared" si="18"/>
        <v>388582.71647734742</v>
      </c>
      <c r="AW17" s="4">
        <f t="shared" si="18"/>
        <v>392468.5436421209</v>
      </c>
      <c r="AX17" s="4">
        <f t="shared" si="18"/>
        <v>396393.22907854209</v>
      </c>
      <c r="AY17" s="4">
        <f t="shared" si="18"/>
        <v>400357.16136932751</v>
      </c>
      <c r="AZ17" s="4">
        <f t="shared" si="18"/>
        <v>404360.73298302077</v>
      </c>
      <c r="BA17" s="4">
        <f t="shared" si="18"/>
        <v>408404.34031285101</v>
      </c>
      <c r="BB17" s="4">
        <f t="shared" si="18"/>
        <v>412488.38371597952</v>
      </c>
      <c r="BC17" s="4">
        <f t="shared" ref="BC17:CH17" si="19">BB17*(1+$Y$55)</f>
        <v>416613.2675531393</v>
      </c>
      <c r="BD17" s="4">
        <f t="shared" si="19"/>
        <v>420779.40022867068</v>
      </c>
      <c r="BE17" s="4">
        <f t="shared" si="19"/>
        <v>424987.19423095736</v>
      </c>
      <c r="BF17" s="4">
        <f t="shared" si="19"/>
        <v>429237.06617326697</v>
      </c>
      <c r="BG17" s="4">
        <f t="shared" si="19"/>
        <v>433529.43683499965</v>
      </c>
      <c r="BH17" s="4">
        <f t="shared" si="19"/>
        <v>437864.73120334966</v>
      </c>
      <c r="BI17" s="4">
        <f t="shared" si="19"/>
        <v>442243.37851538317</v>
      </c>
      <c r="BJ17" s="4">
        <f t="shared" si="19"/>
        <v>446665.81230053701</v>
      </c>
      <c r="BK17" s="4">
        <f t="shared" si="19"/>
        <v>451132.47042354237</v>
      </c>
      <c r="BL17" s="4">
        <f t="shared" si="19"/>
        <v>455643.79512777779</v>
      </c>
      <c r="BM17" s="4">
        <f t="shared" si="19"/>
        <v>460200.23307905556</v>
      </c>
      <c r="BN17" s="4">
        <f t="shared" si="19"/>
        <v>464802.23540984612</v>
      </c>
      <c r="BO17" s="4">
        <f t="shared" si="19"/>
        <v>469450.25776394457</v>
      </c>
      <c r="BP17" s="4">
        <f t="shared" si="19"/>
        <v>474144.76034158404</v>
      </c>
      <c r="BQ17" s="4">
        <f t="shared" si="19"/>
        <v>478886.20794499991</v>
      </c>
      <c r="BR17" s="4">
        <f t="shared" si="19"/>
        <v>483675.0700244499</v>
      </c>
      <c r="BS17" s="4">
        <f t="shared" si="19"/>
        <v>488511.82072469441</v>
      </c>
      <c r="BT17" s="4">
        <f t="shared" si="19"/>
        <v>493396.93893194135</v>
      </c>
      <c r="BU17" s="4">
        <f t="shared" si="19"/>
        <v>498330.90832126077</v>
      </c>
      <c r="BV17" s="4">
        <f t="shared" si="19"/>
        <v>503314.2174044734</v>
      </c>
      <c r="BW17" s="4">
        <f t="shared" si="19"/>
        <v>508347.35957851814</v>
      </c>
      <c r="BX17" s="4">
        <f t="shared" si="19"/>
        <v>513430.83317430335</v>
      </c>
      <c r="BY17" s="4">
        <f t="shared" si="19"/>
        <v>518565.14150604641</v>
      </c>
      <c r="BZ17" s="4">
        <f t="shared" si="19"/>
        <v>523750.79292110685</v>
      </c>
      <c r="CA17" s="4">
        <f t="shared" si="19"/>
        <v>528988.30085031793</v>
      </c>
      <c r="CB17" s="4">
        <f t="shared" si="19"/>
        <v>534278.18385882117</v>
      </c>
      <c r="CC17" s="4">
        <f t="shared" si="19"/>
        <v>539620.96569740935</v>
      </c>
      <c r="CD17" s="4">
        <f t="shared" si="19"/>
        <v>545017.17535438342</v>
      </c>
      <c r="CE17" s="4">
        <f t="shared" si="19"/>
        <v>550467.34710792731</v>
      </c>
      <c r="CF17" s="4">
        <f t="shared" si="19"/>
        <v>555972.02057900664</v>
      </c>
      <c r="CG17" s="4">
        <f t="shared" si="19"/>
        <v>561531.74078479665</v>
      </c>
      <c r="CH17" s="4">
        <f t="shared" si="19"/>
        <v>567147.05819264462</v>
      </c>
      <c r="CI17" s="4">
        <f t="shared" ref="CI17:DN17" si="20">CH17*(1+$Y$55)</f>
        <v>572818.52877457102</v>
      </c>
      <c r="CJ17" s="4">
        <f t="shared" si="20"/>
        <v>578546.71406231669</v>
      </c>
      <c r="CK17" s="4">
        <f t="shared" si="20"/>
        <v>584332.18120293983</v>
      </c>
      <c r="CL17" s="4">
        <f t="shared" si="20"/>
        <v>590175.50301496917</v>
      </c>
      <c r="CM17" s="4">
        <f t="shared" si="20"/>
        <v>596077.25804511888</v>
      </c>
      <c r="CN17" s="4">
        <f t="shared" si="20"/>
        <v>602038.0306255701</v>
      </c>
      <c r="CO17" s="4">
        <f t="shared" si="20"/>
        <v>608058.41093182575</v>
      </c>
      <c r="CP17" s="4">
        <f t="shared" si="20"/>
        <v>614138.99504114396</v>
      </c>
      <c r="CQ17" s="4">
        <f t="shared" si="20"/>
        <v>620280.38499155536</v>
      </c>
      <c r="CR17" s="4">
        <f t="shared" si="20"/>
        <v>626483.18884147087</v>
      </c>
      <c r="CS17" s="4">
        <f t="shared" si="20"/>
        <v>632748.02072988555</v>
      </c>
      <c r="CT17" s="4">
        <f t="shared" si="20"/>
        <v>639075.50093718444</v>
      </c>
      <c r="CU17" s="4">
        <f t="shared" si="20"/>
        <v>645466.25594655634</v>
      </c>
      <c r="CV17" s="4">
        <f t="shared" si="20"/>
        <v>651920.91850602196</v>
      </c>
      <c r="CW17" s="4">
        <f t="shared" si="20"/>
        <v>658440.12769108219</v>
      </c>
      <c r="CX17" s="4">
        <f t="shared" si="20"/>
        <v>665024.52896799298</v>
      </c>
      <c r="CY17" s="4">
        <f t="shared" si="20"/>
        <v>671674.77425767295</v>
      </c>
      <c r="CZ17" s="4">
        <f t="shared" si="20"/>
        <v>678391.52200024971</v>
      </c>
      <c r="DA17" s="4">
        <f t="shared" si="20"/>
        <v>685175.43722025224</v>
      </c>
      <c r="DB17" s="4">
        <f t="shared" si="20"/>
        <v>692027.19159245479</v>
      </c>
      <c r="DC17" s="4">
        <f t="shared" si="20"/>
        <v>698947.4635083793</v>
      </c>
      <c r="DD17" s="4">
        <f t="shared" si="20"/>
        <v>705936.93814346311</v>
      </c>
      <c r="DE17" s="4">
        <f t="shared" si="20"/>
        <v>712996.30752489774</v>
      </c>
      <c r="DF17" s="4">
        <f t="shared" si="20"/>
        <v>720126.27060014673</v>
      </c>
      <c r="DG17" s="4">
        <f t="shared" si="20"/>
        <v>727327.53330614825</v>
      </c>
      <c r="DH17" s="4">
        <f t="shared" si="20"/>
        <v>734600.80863920972</v>
      </c>
      <c r="DI17" s="4">
        <f t="shared" si="20"/>
        <v>741946.81672560179</v>
      </c>
      <c r="DJ17" s="4">
        <f t="shared" si="20"/>
        <v>749366.28489285777</v>
      </c>
      <c r="DK17" s="4">
        <f t="shared" si="20"/>
        <v>756859.94774178637</v>
      </c>
      <c r="DL17" s="4">
        <f t="shared" si="20"/>
        <v>764428.54721920425</v>
      </c>
      <c r="DM17" s="4">
        <f t="shared" si="20"/>
        <v>772072.83269139635</v>
      </c>
      <c r="DN17" s="4">
        <f t="shared" si="20"/>
        <v>779793.56101831037</v>
      </c>
      <c r="DO17" s="4">
        <f t="shared" ref="DO17:EM17" si="21">DN17*(1+$Y$55)</f>
        <v>787591.49662849354</v>
      </c>
      <c r="DP17" s="4">
        <f t="shared" si="21"/>
        <v>795467.41159477853</v>
      </c>
      <c r="DQ17" s="4">
        <f t="shared" si="21"/>
        <v>803422.08571072633</v>
      </c>
      <c r="DR17" s="4">
        <f t="shared" si="21"/>
        <v>811456.30656783364</v>
      </c>
      <c r="DS17" s="4">
        <f t="shared" si="21"/>
        <v>819570.86963351199</v>
      </c>
      <c r="DT17" s="4">
        <f t="shared" si="21"/>
        <v>827766.57832984708</v>
      </c>
      <c r="DU17" s="4">
        <f t="shared" si="21"/>
        <v>836044.24411314551</v>
      </c>
      <c r="DV17" s="4">
        <f t="shared" si="21"/>
        <v>844404.68655427697</v>
      </c>
      <c r="DW17" s="4">
        <f t="shared" si="21"/>
        <v>852848.73341981973</v>
      </c>
      <c r="DX17" s="4">
        <f t="shared" si="21"/>
        <v>861377.22075401794</v>
      </c>
      <c r="DY17" s="4">
        <f t="shared" si="21"/>
        <v>869990.99296155816</v>
      </c>
      <c r="DZ17" s="4">
        <f t="shared" si="21"/>
        <v>878690.90289117373</v>
      </c>
      <c r="EA17" s="4">
        <f t="shared" si="21"/>
        <v>887477.81192008546</v>
      </c>
      <c r="EB17" s="4">
        <f t="shared" si="21"/>
        <v>896352.5900392863</v>
      </c>
      <c r="EC17" s="4">
        <f t="shared" si="21"/>
        <v>905316.11593967921</v>
      </c>
      <c r="ED17" s="4">
        <f t="shared" si="21"/>
        <v>914369.27709907596</v>
      </c>
      <c r="EE17" s="4">
        <f t="shared" si="21"/>
        <v>923512.96987006674</v>
      </c>
      <c r="EF17" s="4">
        <f t="shared" si="21"/>
        <v>932748.09956876736</v>
      </c>
      <c r="EG17" s="4">
        <f t="shared" si="21"/>
        <v>942075.58056445501</v>
      </c>
      <c r="EH17" s="4">
        <f t="shared" si="21"/>
        <v>951496.33637009957</v>
      </c>
      <c r="EI17" s="4">
        <f t="shared" si="21"/>
        <v>961011.29973380058</v>
      </c>
      <c r="EJ17" s="4">
        <f t="shared" si="21"/>
        <v>970621.41273113864</v>
      </c>
      <c r="EK17" s="4">
        <f t="shared" si="21"/>
        <v>980327.62685845001</v>
      </c>
      <c r="EL17" s="4">
        <f t="shared" si="21"/>
        <v>990130.90312703454</v>
      </c>
      <c r="EM17" s="4">
        <f t="shared" si="21"/>
        <v>1000032.2121583049</v>
      </c>
    </row>
    <row r="18" spans="1:143" x14ac:dyDescent="0.2">
      <c r="B18" s="2" t="s">
        <v>1</v>
      </c>
      <c r="C18" s="2">
        <v>24890</v>
      </c>
      <c r="G18" s="2">
        <v>24611</v>
      </c>
      <c r="H18" s="2">
        <f>G18*0.995</f>
        <v>24487.945</v>
      </c>
      <c r="I18" s="2">
        <f t="shared" ref="I18:J18" si="22">H18*0.995</f>
        <v>24365.505275</v>
      </c>
      <c r="J18" s="2">
        <f t="shared" si="22"/>
        <v>24243.677748624999</v>
      </c>
      <c r="O18" s="2">
        <v>25070</v>
      </c>
      <c r="P18" s="2">
        <v>24940</v>
      </c>
      <c r="Q18" s="2">
        <v>24400</v>
      </c>
      <c r="R18" s="2">
        <f>J18</f>
        <v>24243.677748624999</v>
      </c>
      <c r="S18" s="2">
        <f t="shared" ref="S18:V18" si="23">R18*0.99</f>
        <v>24001.240971138748</v>
      </c>
      <c r="T18" s="2">
        <f t="shared" si="23"/>
        <v>23761.228561427361</v>
      </c>
      <c r="U18" s="2">
        <f t="shared" si="23"/>
        <v>23523.616275813085</v>
      </c>
      <c r="V18" s="2">
        <f t="shared" si="23"/>
        <v>23288.380113054955</v>
      </c>
    </row>
    <row r="19" spans="1:143" x14ac:dyDescent="0.2">
      <c r="B19" s="2" t="s">
        <v>19</v>
      </c>
      <c r="C19" s="5">
        <f>C17/C18</f>
        <v>0.5978706307754118</v>
      </c>
      <c r="D19" s="5" t="e">
        <f t="shared" ref="D19:J19" si="24">D17/D18</f>
        <v>#DIV/0!</v>
      </c>
      <c r="E19" s="5" t="e">
        <f t="shared" si="24"/>
        <v>#DIV/0!</v>
      </c>
      <c r="F19" s="5" t="e">
        <f t="shared" si="24"/>
        <v>#DIV/0!</v>
      </c>
      <c r="G19" s="5">
        <f t="shared" si="24"/>
        <v>0.75937588883019791</v>
      </c>
      <c r="H19" s="5">
        <f t="shared" si="24"/>
        <v>0.83287054099476299</v>
      </c>
      <c r="I19" s="5">
        <f t="shared" si="24"/>
        <v>0.9729688953474821</v>
      </c>
      <c r="J19" s="5">
        <f t="shared" si="24"/>
        <v>1.1261570042769795</v>
      </c>
      <c r="O19" s="5">
        <f>O17/O18</f>
        <v>0.22820103709613082</v>
      </c>
      <c r="P19" s="5">
        <f>P17/P18</f>
        <v>1.1932638331996792</v>
      </c>
      <c r="Q19" s="5">
        <f>Q17/Q18</f>
        <v>2.9868852459016395</v>
      </c>
      <c r="R19" s="5">
        <f t="shared" ref="R19:V19" si="25">R17/R18</f>
        <v>3.7161587112399936</v>
      </c>
      <c r="S19" s="5">
        <f t="shared" si="25"/>
        <v>5.2068007134570635</v>
      </c>
      <c r="T19" s="5">
        <f t="shared" si="25"/>
        <v>7.0407239997567741</v>
      </c>
      <c r="U19" s="5">
        <f t="shared" si="25"/>
        <v>9.5227959778375801</v>
      </c>
      <c r="V19" s="5">
        <f t="shared" si="25"/>
        <v>12.882153820785804</v>
      </c>
    </row>
    <row r="20" spans="1:143" x14ac:dyDescent="0.2">
      <c r="K20" s="5"/>
      <c r="O20" s="6"/>
      <c r="P20" s="6"/>
      <c r="Q20" s="6"/>
      <c r="R20" s="6"/>
      <c r="S20" s="6"/>
      <c r="T20" s="6"/>
      <c r="U20" s="6"/>
      <c r="V20" s="6"/>
    </row>
    <row r="21" spans="1:143" s="4" customFormat="1" x14ac:dyDescent="0.2">
      <c r="B21" s="4" t="s">
        <v>20</v>
      </c>
      <c r="G21" s="7">
        <f>G6/C6-1</f>
        <v>0.68852710797112571</v>
      </c>
      <c r="H21" s="7" t="e">
        <f t="shared" ref="H21:J21" si="26">H6/D6-1</f>
        <v>#DIV/0!</v>
      </c>
      <c r="I21" s="7" t="e">
        <f t="shared" si="26"/>
        <v>#DIV/0!</v>
      </c>
      <c r="J21" s="7">
        <f t="shared" si="26"/>
        <v>0.48136386768447825</v>
      </c>
      <c r="M21" s="7" t="e">
        <f t="shared" ref="M21:V21" si="27">M6/L6-1</f>
        <v>#DIV/0!</v>
      </c>
      <c r="N21" s="7" t="e">
        <f t="shared" si="27"/>
        <v>#DIV/0!</v>
      </c>
      <c r="O21" s="7" t="e">
        <f t="shared" si="27"/>
        <v>#DIV/0!</v>
      </c>
      <c r="P21" s="7">
        <f t="shared" si="27"/>
        <v>1.2585452658115224</v>
      </c>
      <c r="Q21" s="7">
        <f t="shared" si="27"/>
        <v>1.1420340763599355</v>
      </c>
      <c r="R21" s="7">
        <f t="shared" si="27"/>
        <v>0.53393258082561279</v>
      </c>
      <c r="S21" s="7">
        <f t="shared" si="27"/>
        <v>0.34000000000000008</v>
      </c>
      <c r="T21" s="7">
        <f t="shared" si="27"/>
        <v>0.34000000000000008</v>
      </c>
      <c r="U21" s="7">
        <f t="shared" si="27"/>
        <v>0.34000000000000008</v>
      </c>
      <c r="V21" s="7">
        <f t="shared" si="27"/>
        <v>0.34000000000000008</v>
      </c>
    </row>
    <row r="22" spans="1:143" x14ac:dyDescent="0.2">
      <c r="B22" s="2" t="s">
        <v>21</v>
      </c>
      <c r="G22" s="6">
        <f>G6/F6-1</f>
        <v>0.11898218829516538</v>
      </c>
      <c r="H22" s="6">
        <f t="shared" ref="H22:J22" si="28">H6/G6-1</f>
        <v>4.6025104602510414E-2</v>
      </c>
      <c r="I22" s="6">
        <f t="shared" si="28"/>
        <v>0.12999999999999989</v>
      </c>
      <c r="J22" s="6">
        <f t="shared" si="28"/>
        <v>0.12000000000000011</v>
      </c>
    </row>
    <row r="24" spans="1:143" s="4" customFormat="1" x14ac:dyDescent="0.2">
      <c r="B24" s="4" t="s">
        <v>22</v>
      </c>
      <c r="C24" s="7">
        <f>C8/C6</f>
        <v>0.78352019659038552</v>
      </c>
      <c r="D24" s="7" t="e">
        <f>D8/D6</f>
        <v>#DIV/0!</v>
      </c>
      <c r="E24" s="7" t="e">
        <f>E8/E6</f>
        <v>#DIV/0!</v>
      </c>
      <c r="F24" s="7">
        <f>F8/F6</f>
        <v>1</v>
      </c>
      <c r="G24" s="7">
        <f>G8/G6</f>
        <v>0.604466072403129</v>
      </c>
      <c r="H24" s="7">
        <v>0.72</v>
      </c>
      <c r="I24" s="7">
        <f>H24*1.02</f>
        <v>0.73439999999999994</v>
      </c>
      <c r="J24" s="7">
        <f>I24*1.02</f>
        <v>0.74908799999999998</v>
      </c>
      <c r="M24" s="7" t="e">
        <f t="shared" ref="M24:R24" si="29">M8/M6</f>
        <v>#DIV/0!</v>
      </c>
      <c r="N24" s="7" t="e">
        <f t="shared" si="29"/>
        <v>#DIV/0!</v>
      </c>
      <c r="O24" s="7">
        <f t="shared" si="29"/>
        <v>0.56928894490991322</v>
      </c>
      <c r="P24" s="7">
        <f t="shared" si="29"/>
        <v>0.72717573290436954</v>
      </c>
      <c r="Q24" s="7">
        <f t="shared" si="29"/>
        <v>0.74988697058169917</v>
      </c>
      <c r="R24" s="7">
        <f t="shared" si="29"/>
        <v>0.70681757009315904</v>
      </c>
      <c r="S24" s="7">
        <v>0.74</v>
      </c>
      <c r="T24" s="7">
        <v>0.74</v>
      </c>
      <c r="U24" s="7">
        <v>0.74</v>
      </c>
      <c r="V24" s="7">
        <v>0.74</v>
      </c>
    </row>
    <row r="25" spans="1:143" x14ac:dyDescent="0.2">
      <c r="A25" s="4"/>
      <c r="B25" s="2" t="s">
        <v>40</v>
      </c>
      <c r="C25" s="6">
        <f t="shared" ref="C25:J25" si="30">C12/C6</f>
        <v>0.64924742743050223</v>
      </c>
      <c r="D25" s="6" t="e">
        <f t="shared" si="30"/>
        <v>#DIV/0!</v>
      </c>
      <c r="E25" s="6" t="e">
        <f t="shared" si="30"/>
        <v>#DIV/0!</v>
      </c>
      <c r="F25" s="6">
        <f t="shared" si="30"/>
        <v>1</v>
      </c>
      <c r="G25" s="6">
        <f t="shared" si="30"/>
        <v>0.49008550118246313</v>
      </c>
      <c r="H25" s="6">
        <f t="shared" si="30"/>
        <v>0.55000000000000004</v>
      </c>
      <c r="I25" s="6">
        <f t="shared" si="30"/>
        <v>0.56440000000000001</v>
      </c>
      <c r="J25" s="6">
        <f t="shared" si="30"/>
        <v>0.57908800000000005</v>
      </c>
      <c r="M25" s="6"/>
      <c r="N25" s="6"/>
      <c r="O25" s="6">
        <f t="shared" ref="O25:V25" si="31">O12/O6</f>
        <v>0.20675465262845702</v>
      </c>
      <c r="P25" s="6">
        <f t="shared" si="31"/>
        <v>0.54121663766783756</v>
      </c>
      <c r="Q25" s="6">
        <f t="shared" si="31"/>
        <v>0.62417526839697468</v>
      </c>
      <c r="R25" s="6">
        <f t="shared" si="31"/>
        <v>0.5490365640064423</v>
      </c>
      <c r="S25" s="6">
        <f t="shared" si="31"/>
        <v>0.57999999999999996</v>
      </c>
      <c r="T25" s="6">
        <f t="shared" si="31"/>
        <v>0.57999999999999996</v>
      </c>
      <c r="U25" s="6">
        <f t="shared" si="31"/>
        <v>0.57999999999999996</v>
      </c>
      <c r="V25" s="6">
        <f t="shared" si="31"/>
        <v>0.58000000000000007</v>
      </c>
    </row>
    <row r="26" spans="1:143" s="4" customFormat="1" x14ac:dyDescent="0.2">
      <c r="B26" s="2" t="s">
        <v>47</v>
      </c>
      <c r="C26" s="6">
        <f>C11/C6</f>
        <v>0.13427276915988329</v>
      </c>
      <c r="D26" s="6" t="e">
        <f>D11/D6</f>
        <v>#DIV/0!</v>
      </c>
      <c r="E26" s="6" t="e">
        <f>E11/E6</f>
        <v>#DIV/0!</v>
      </c>
      <c r="F26" s="6">
        <f>F11/F6</f>
        <v>0</v>
      </c>
      <c r="G26" s="6">
        <f>G11/G6</f>
        <v>0.11438057122066582</v>
      </c>
      <c r="H26" s="6">
        <v>0.17</v>
      </c>
      <c r="I26" s="6">
        <v>0.17</v>
      </c>
      <c r="J26" s="6">
        <v>0.17</v>
      </c>
      <c r="M26" s="7"/>
      <c r="N26" s="7"/>
      <c r="O26" s="6">
        <f>O11/O6</f>
        <v>0.36253429228145623</v>
      </c>
      <c r="P26" s="6">
        <f>P11/P6</f>
        <v>0.18595909523653195</v>
      </c>
      <c r="Q26" s="6">
        <f>Q11/Q6</f>
        <v>0.12571170218472455</v>
      </c>
      <c r="R26" s="6">
        <f>R11/R6</f>
        <v>0.15778100608671672</v>
      </c>
      <c r="S26" s="6">
        <v>0.16</v>
      </c>
      <c r="T26" s="6">
        <v>0.16</v>
      </c>
      <c r="U26" s="6">
        <v>0.16</v>
      </c>
      <c r="V26" s="6">
        <v>0.16</v>
      </c>
    </row>
    <row r="27" spans="1:143" s="4" customFormat="1" x14ac:dyDescent="0.2">
      <c r="B27" s="2" t="s">
        <v>48</v>
      </c>
      <c r="H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9" spans="1:143" x14ac:dyDescent="0.2">
      <c r="B29" s="2" t="s">
        <v>27</v>
      </c>
      <c r="C29" s="2">
        <f>C31-C37</f>
        <v>44747</v>
      </c>
      <c r="G29" s="2">
        <f>G31-SUM(G37:G39)</f>
        <v>38822</v>
      </c>
      <c r="H29" s="2">
        <f>G29+H17</f>
        <v>59217.288</v>
      </c>
      <c r="I29" s="2">
        <f>H29+I17</f>
        <v>82924.16675199999</v>
      </c>
      <c r="J29" s="2">
        <f>I29+J17</f>
        <v>110226.35425804798</v>
      </c>
      <c r="Q29" s="2">
        <f>Q31-Q37</f>
        <v>30502</v>
      </c>
      <c r="R29" s="2">
        <f>Q29+R13</f>
        <v>31858.81727376</v>
      </c>
      <c r="S29" s="2">
        <f>R29+S13</f>
        <v>32495.9936192352</v>
      </c>
      <c r="T29" s="2">
        <f>S29+T13</f>
        <v>33145.913491619904</v>
      </c>
      <c r="U29" s="2">
        <f>T29+U13</f>
        <v>33808.831761452304</v>
      </c>
      <c r="V29" s="2">
        <f>U29+V13</f>
        <v>34485.008396681347</v>
      </c>
    </row>
    <row r="30" spans="1:143" x14ac:dyDescent="0.2">
      <c r="R30" s="6"/>
      <c r="S30" s="6"/>
      <c r="T30" s="6"/>
      <c r="U30" s="6"/>
      <c r="V30" s="6"/>
    </row>
    <row r="31" spans="1:143" x14ac:dyDescent="0.2">
      <c r="B31" s="2" t="s">
        <v>3</v>
      </c>
      <c r="C31" s="2">
        <v>53210</v>
      </c>
      <c r="G31" s="2">
        <v>53691</v>
      </c>
      <c r="Q31" s="2">
        <f>8589+34621</f>
        <v>43210</v>
      </c>
    </row>
    <row r="32" spans="1:143" x14ac:dyDescent="0.2">
      <c r="B32" s="2" t="s">
        <v>28</v>
      </c>
      <c r="C32" s="2">
        <v>23065</v>
      </c>
      <c r="G32" s="2">
        <v>22132</v>
      </c>
    </row>
    <row r="33" spans="1:22" x14ac:dyDescent="0.2">
      <c r="B33" s="2" t="s">
        <v>67</v>
      </c>
      <c r="C33" s="2">
        <v>10080</v>
      </c>
      <c r="G33" s="2">
        <v>11333</v>
      </c>
    </row>
    <row r="34" spans="1:22" x14ac:dyDescent="0.2">
      <c r="B34" s="2" t="s">
        <v>73</v>
      </c>
    </row>
    <row r="36" spans="1:22" x14ac:dyDescent="0.2">
      <c r="B36" s="2" t="s">
        <v>29</v>
      </c>
    </row>
    <row r="37" spans="1:22" x14ac:dyDescent="0.2">
      <c r="B37" s="2" t="s">
        <v>4</v>
      </c>
      <c r="C37" s="2">
        <v>8463</v>
      </c>
      <c r="G37" s="2">
        <v>8464</v>
      </c>
      <c r="Q37" s="2">
        <f>8463+4245</f>
        <v>12708</v>
      </c>
    </row>
    <row r="38" spans="1:22" x14ac:dyDescent="0.2">
      <c r="B38" s="2" t="s">
        <v>68</v>
      </c>
      <c r="C38" s="2">
        <v>1519</v>
      </c>
      <c r="G38" s="2">
        <v>1521</v>
      </c>
    </row>
    <row r="39" spans="1:22" x14ac:dyDescent="0.2">
      <c r="B39" s="2" t="s">
        <v>69</v>
      </c>
      <c r="C39" s="2">
        <v>4245</v>
      </c>
      <c r="G39" s="2">
        <v>4884</v>
      </c>
    </row>
    <row r="40" spans="1:22" x14ac:dyDescent="0.2">
      <c r="B40" s="2" t="s">
        <v>72</v>
      </c>
    </row>
    <row r="41" spans="1:22" x14ac:dyDescent="0.2">
      <c r="B41" s="2" t="s">
        <v>71</v>
      </c>
    </row>
    <row r="42" spans="1:22" x14ac:dyDescent="0.2">
      <c r="B42" s="2" t="s">
        <v>70</v>
      </c>
    </row>
    <row r="44" spans="1:22" x14ac:dyDescent="0.2">
      <c r="B44" s="2" t="s">
        <v>35</v>
      </c>
      <c r="M44" s="2">
        <f t="shared" ref="M44:V44" si="32">M17</f>
        <v>0</v>
      </c>
      <c r="N44" s="2">
        <f t="shared" si="32"/>
        <v>0</v>
      </c>
      <c r="O44" s="2">
        <f t="shared" si="32"/>
        <v>5721</v>
      </c>
      <c r="P44" s="2">
        <f t="shared" si="32"/>
        <v>29760</v>
      </c>
      <c r="Q44" s="2">
        <f t="shared" si="32"/>
        <v>72880</v>
      </c>
      <c r="R44" s="2">
        <f t="shared" si="32"/>
        <v>90093.354258047984</v>
      </c>
      <c r="S44" s="2">
        <f t="shared" si="32"/>
        <v>124969.67861238014</v>
      </c>
      <c r="T44" s="2">
        <f t="shared" si="32"/>
        <v>167296.25219614775</v>
      </c>
      <c r="U44" s="2">
        <f t="shared" si="32"/>
        <v>224010.59845550748</v>
      </c>
      <c r="V44" s="2">
        <f t="shared" si="32"/>
        <v>300004.49485330301</v>
      </c>
    </row>
    <row r="45" spans="1:22" x14ac:dyDescent="0.2">
      <c r="B45" s="2" t="s">
        <v>36</v>
      </c>
      <c r="O45" s="2">
        <v>4368</v>
      </c>
      <c r="P45" s="2">
        <v>29760</v>
      </c>
      <c r="Q45" s="2">
        <v>72880</v>
      </c>
    </row>
    <row r="46" spans="1:22" x14ac:dyDescent="0.2">
      <c r="B46" s="2" t="s">
        <v>75</v>
      </c>
      <c r="P46" s="2">
        <v>3549</v>
      </c>
      <c r="Q46" s="2">
        <v>4737</v>
      </c>
      <c r="R46" s="2">
        <f>Q46*1.2</f>
        <v>5684.4</v>
      </c>
      <c r="S46" s="2">
        <f t="shared" ref="S46:V46" si="33">R46*1.2</f>
        <v>6821.28</v>
      </c>
      <c r="T46" s="2">
        <f t="shared" si="33"/>
        <v>8185.5359999999991</v>
      </c>
      <c r="U46" s="2">
        <f t="shared" si="33"/>
        <v>9822.6431999999986</v>
      </c>
      <c r="V46" s="2">
        <f t="shared" si="33"/>
        <v>11787.171839999997</v>
      </c>
    </row>
    <row r="47" spans="1:22" s="4" customFormat="1" x14ac:dyDescent="0.2">
      <c r="A47" s="2"/>
      <c r="B47" s="2" t="s">
        <v>76</v>
      </c>
      <c r="P47" s="2">
        <v>1508</v>
      </c>
      <c r="Q47" s="2">
        <v>1864</v>
      </c>
      <c r="R47" s="2">
        <f>Q47*(1+R21)</f>
        <v>2859.2503306589424</v>
      </c>
      <c r="S47" s="2">
        <f>R47*(1+S21)</f>
        <v>3831.3954430829831</v>
      </c>
      <c r="T47" s="2">
        <f>S47*(1+T21)</f>
        <v>5134.0698937311972</v>
      </c>
      <c r="U47" s="2">
        <f>T47*(1+U21)</f>
        <v>6879.6536575998043</v>
      </c>
      <c r="V47" s="2">
        <f>U47*(1+V21)</f>
        <v>9218.735901183738</v>
      </c>
    </row>
    <row r="48" spans="1:22" x14ac:dyDescent="0.2">
      <c r="B48" s="2" t="s">
        <v>77</v>
      </c>
      <c r="P48" s="2">
        <v>-2489</v>
      </c>
      <c r="Q48" s="2">
        <v>-4477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125" x14ac:dyDescent="0.2">
      <c r="B49" s="2" t="s">
        <v>78</v>
      </c>
      <c r="P49" s="2">
        <v>-238</v>
      </c>
      <c r="Q49" s="2">
        <v>-1030</v>
      </c>
      <c r="R49" s="2">
        <v>180</v>
      </c>
      <c r="S49" s="2">
        <v>0</v>
      </c>
      <c r="T49" s="2">
        <v>0</v>
      </c>
      <c r="U49" s="2">
        <v>0</v>
      </c>
      <c r="V49" s="2">
        <v>0</v>
      </c>
    </row>
    <row r="50" spans="1:125" x14ac:dyDescent="0.2">
      <c r="B50" s="2" t="s">
        <v>15</v>
      </c>
      <c r="P50" s="2">
        <v>-278</v>
      </c>
      <c r="Q50" s="2">
        <v>-502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</row>
    <row r="51" spans="1:125" x14ac:dyDescent="0.2">
      <c r="B51" s="2" t="s">
        <v>28</v>
      </c>
      <c r="P51" s="2">
        <v>-6172</v>
      </c>
      <c r="Q51" s="2">
        <v>-13063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</row>
    <row r="52" spans="1:125" x14ac:dyDescent="0.2">
      <c r="B52" s="2" t="s">
        <v>67</v>
      </c>
      <c r="P52" s="2">
        <v>-98</v>
      </c>
      <c r="Q52" s="2">
        <v>-4781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</row>
    <row r="53" spans="1:125" x14ac:dyDescent="0.2">
      <c r="B53" s="2" t="s">
        <v>79</v>
      </c>
      <c r="P53" s="2">
        <v>-1522</v>
      </c>
      <c r="Q53" s="2">
        <v>-395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</row>
    <row r="54" spans="1:125" x14ac:dyDescent="0.2">
      <c r="B54" s="2" t="s">
        <v>29</v>
      </c>
      <c r="P54" s="2">
        <v>1531</v>
      </c>
      <c r="Q54" s="2">
        <v>3357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X54" s="2" t="s">
        <v>32</v>
      </c>
      <c r="Y54" s="8">
        <v>0.02</v>
      </c>
    </row>
    <row r="55" spans="1:125" x14ac:dyDescent="0.2">
      <c r="B55" s="2" t="s">
        <v>80</v>
      </c>
      <c r="P55" s="2">
        <v>2025</v>
      </c>
      <c r="Q55" s="2">
        <v>4278</v>
      </c>
      <c r="R55" s="2">
        <f>Q55*(1+R21)</f>
        <v>6562.1635807719713</v>
      </c>
      <c r="S55" s="2">
        <f>R55*(1+S21)</f>
        <v>8793.2991982344429</v>
      </c>
      <c r="T55" s="2">
        <f>S55*(1+T21)</f>
        <v>11783.020925634155</v>
      </c>
      <c r="U55" s="2">
        <f>T55*(1+U21)</f>
        <v>15789.248040349768</v>
      </c>
      <c r="V55" s="2">
        <f>U55*(1+V21)</f>
        <v>21157.592374068692</v>
      </c>
      <c r="X55" s="2" t="s">
        <v>31</v>
      </c>
      <c r="Y55" s="8">
        <v>0.01</v>
      </c>
    </row>
    <row r="56" spans="1:125" x14ac:dyDescent="0.2">
      <c r="B56" s="2" t="s">
        <v>69</v>
      </c>
      <c r="P56" s="2">
        <v>514</v>
      </c>
      <c r="Q56" s="2">
        <v>1221</v>
      </c>
      <c r="R56" s="2">
        <f>Q56*(1+R21)</f>
        <v>1872.9316811880733</v>
      </c>
      <c r="S56" s="2">
        <f>R56*(1+S21)</f>
        <v>2509.7284527920183</v>
      </c>
      <c r="T56" s="2">
        <f>S56*(1+T21)</f>
        <v>3363.0361267413045</v>
      </c>
      <c r="U56" s="2">
        <f>T56*(1+U21)</f>
        <v>4506.4684098333482</v>
      </c>
      <c r="V56" s="2">
        <f>U56*(1+V21)</f>
        <v>6038.667669176687</v>
      </c>
      <c r="X56" s="2" t="s">
        <v>33</v>
      </c>
      <c r="Y56" s="8">
        <v>9.5000000000000001E-2</v>
      </c>
    </row>
    <row r="57" spans="1:125" x14ac:dyDescent="0.2">
      <c r="B57" s="2" t="s">
        <v>50</v>
      </c>
      <c r="P57" s="2">
        <f>SUM(P45:P56)</f>
        <v>28090</v>
      </c>
      <c r="Q57" s="2">
        <f>SUM(Q45:Q56)</f>
        <v>64089</v>
      </c>
      <c r="R57" s="2">
        <f>SUM(R46:R56,R44)</f>
        <v>107252.09985066697</v>
      </c>
      <c r="S57" s="2">
        <f t="shared" ref="S57:V57" si="34">SUM(S46:S56,S44)</f>
        <v>146925.3817064896</v>
      </c>
      <c r="T57" s="2">
        <f t="shared" si="34"/>
        <v>195761.91514225441</v>
      </c>
      <c r="U57" s="2">
        <f t="shared" si="34"/>
        <v>261008.61176329039</v>
      </c>
      <c r="V57" s="2">
        <f t="shared" si="34"/>
        <v>348206.66263773211</v>
      </c>
      <c r="X57" s="2" t="s">
        <v>30</v>
      </c>
      <c r="Y57" s="2">
        <f>NPV(Y56,R62:DU62)+main!O5-main!O6</f>
        <v>3282662.5098046414</v>
      </c>
    </row>
    <row r="58" spans="1:125" x14ac:dyDescent="0.2">
      <c r="X58" s="2" t="s">
        <v>0</v>
      </c>
      <c r="Y58" s="5">
        <f>Y57/main!O3</f>
        <v>134.53534876248531</v>
      </c>
    </row>
    <row r="59" spans="1:125" x14ac:dyDescent="0.2">
      <c r="B59" s="2" t="s">
        <v>81</v>
      </c>
      <c r="P59" s="2">
        <v>-1069</v>
      </c>
      <c r="Q59" s="2">
        <v>-3236</v>
      </c>
      <c r="X59" s="2" t="s">
        <v>34</v>
      </c>
      <c r="Y59" s="6">
        <f>Y58/main!O2-1</f>
        <v>-0.13203000798396569</v>
      </c>
    </row>
    <row r="60" spans="1:125" x14ac:dyDescent="0.2">
      <c r="B60" s="2" t="s">
        <v>82</v>
      </c>
      <c r="P60" s="2">
        <f>P59</f>
        <v>-1069</v>
      </c>
      <c r="Q60" s="2">
        <f>Q59</f>
        <v>-3236</v>
      </c>
      <c r="R60" s="2">
        <f>Q60*(1+R21)</f>
        <v>-4963.8058315516828</v>
      </c>
      <c r="S60" s="2">
        <f>R60*(1+S21)</f>
        <v>-6651.4998142792556</v>
      </c>
      <c r="T60" s="2">
        <f>S60*(1+T21)</f>
        <v>-8913.0097511342028</v>
      </c>
      <c r="U60" s="2">
        <f>T60*(1+U21)</f>
        <v>-11943.433066519832</v>
      </c>
      <c r="V60" s="2">
        <f>U60*(1+V21)</f>
        <v>-16004.200309136577</v>
      </c>
    </row>
    <row r="62" spans="1:125" s="4" customFormat="1" x14ac:dyDescent="0.2">
      <c r="A62" s="2"/>
      <c r="B62" s="4" t="s">
        <v>51</v>
      </c>
      <c r="P62" s="4">
        <f>P57+P60</f>
        <v>27021</v>
      </c>
      <c r="Q62" s="4">
        <f>Q57+Q60</f>
        <v>60853</v>
      </c>
      <c r="R62" s="4">
        <f t="shared" ref="R62:V62" si="35">R57+R60</f>
        <v>102288.29401911529</v>
      </c>
      <c r="S62" s="4">
        <f t="shared" si="35"/>
        <v>140273.88189221034</v>
      </c>
      <c r="T62" s="4">
        <f t="shared" si="35"/>
        <v>186848.90539112021</v>
      </c>
      <c r="U62" s="4">
        <f t="shared" si="35"/>
        <v>249065.17869677057</v>
      </c>
      <c r="V62" s="4">
        <f t="shared" si="35"/>
        <v>332202.46232859552</v>
      </c>
      <c r="W62" s="4">
        <f t="shared" ref="W62:BB62" si="36">V62*(1+$Y$55)</f>
        <v>335524.4869518815</v>
      </c>
      <c r="X62" s="4">
        <f t="shared" si="36"/>
        <v>338879.73182140029</v>
      </c>
      <c r="Y62" s="4">
        <f t="shared" si="36"/>
        <v>342268.52913961431</v>
      </c>
      <c r="Z62" s="4">
        <f t="shared" si="36"/>
        <v>345691.21443101048</v>
      </c>
      <c r="AA62" s="4">
        <f t="shared" si="36"/>
        <v>349148.12657532061</v>
      </c>
      <c r="AB62" s="4">
        <f t="shared" si="36"/>
        <v>352639.60784107383</v>
      </c>
      <c r="AC62" s="4">
        <f t="shared" si="36"/>
        <v>356166.00391948456</v>
      </c>
      <c r="AD62" s="4">
        <f t="shared" si="36"/>
        <v>359727.66395867942</v>
      </c>
      <c r="AE62" s="4">
        <f t="shared" si="36"/>
        <v>363324.9405982662</v>
      </c>
      <c r="AF62" s="4">
        <f t="shared" si="36"/>
        <v>366958.19000424887</v>
      </c>
      <c r="AG62" s="4">
        <f t="shared" si="36"/>
        <v>370627.77190429135</v>
      </c>
      <c r="AH62" s="4">
        <f t="shared" si="36"/>
        <v>374334.04962333426</v>
      </c>
      <c r="AI62" s="4">
        <f t="shared" si="36"/>
        <v>378077.39011956763</v>
      </c>
      <c r="AJ62" s="4">
        <f t="shared" si="36"/>
        <v>381858.1640207633</v>
      </c>
      <c r="AK62" s="4">
        <f t="shared" si="36"/>
        <v>385676.74566097092</v>
      </c>
      <c r="AL62" s="4">
        <f t="shared" si="36"/>
        <v>389533.51311758062</v>
      </c>
      <c r="AM62" s="4">
        <f t="shared" si="36"/>
        <v>393428.84824875643</v>
      </c>
      <c r="AN62" s="4">
        <f t="shared" si="36"/>
        <v>397363.13673124398</v>
      </c>
      <c r="AO62" s="4">
        <f t="shared" si="36"/>
        <v>401336.76809855644</v>
      </c>
      <c r="AP62" s="4">
        <f t="shared" si="36"/>
        <v>405350.13577954203</v>
      </c>
      <c r="AQ62" s="4">
        <f t="shared" si="36"/>
        <v>409403.63713733747</v>
      </c>
      <c r="AR62" s="4">
        <f t="shared" si="36"/>
        <v>413497.67350871087</v>
      </c>
      <c r="AS62" s="4">
        <f t="shared" si="36"/>
        <v>417632.65024379798</v>
      </c>
      <c r="AT62" s="4">
        <f t="shared" si="36"/>
        <v>421808.97674623597</v>
      </c>
      <c r="AU62" s="4">
        <f t="shared" si="36"/>
        <v>426027.06651369832</v>
      </c>
      <c r="AV62" s="4">
        <f t="shared" si="36"/>
        <v>430287.3371788353</v>
      </c>
      <c r="AW62" s="4">
        <f t="shared" si="36"/>
        <v>434590.21055062365</v>
      </c>
      <c r="AX62" s="4">
        <f t="shared" si="36"/>
        <v>438936.11265612987</v>
      </c>
      <c r="AY62" s="4">
        <f t="shared" si="36"/>
        <v>443325.47378269117</v>
      </c>
      <c r="AZ62" s="4">
        <f t="shared" si="36"/>
        <v>447758.72852051811</v>
      </c>
      <c r="BA62" s="4">
        <f t="shared" si="36"/>
        <v>452236.31580572331</v>
      </c>
      <c r="BB62" s="4">
        <f t="shared" si="36"/>
        <v>456758.67896378052</v>
      </c>
      <c r="BC62" s="4">
        <f t="shared" ref="BC62:CH62" si="37">BB62*(1+$Y$55)</f>
        <v>461326.26575341832</v>
      </c>
      <c r="BD62" s="4">
        <f t="shared" si="37"/>
        <v>465939.52841095254</v>
      </c>
      <c r="BE62" s="4">
        <f t="shared" si="37"/>
        <v>470598.92369506205</v>
      </c>
      <c r="BF62" s="4">
        <f t="shared" si="37"/>
        <v>475304.9129320127</v>
      </c>
      <c r="BG62" s="4">
        <f t="shared" si="37"/>
        <v>480057.96206133283</v>
      </c>
      <c r="BH62" s="4">
        <f t="shared" si="37"/>
        <v>484858.54168194614</v>
      </c>
      <c r="BI62" s="4">
        <f t="shared" si="37"/>
        <v>489707.12709876563</v>
      </c>
      <c r="BJ62" s="4">
        <f t="shared" si="37"/>
        <v>494604.19836975331</v>
      </c>
      <c r="BK62" s="4">
        <f t="shared" si="37"/>
        <v>499550.24035345088</v>
      </c>
      <c r="BL62" s="4">
        <f t="shared" si="37"/>
        <v>504545.74275698542</v>
      </c>
      <c r="BM62" s="4">
        <f t="shared" si="37"/>
        <v>509591.20018455526</v>
      </c>
      <c r="BN62" s="4">
        <f t="shared" si="37"/>
        <v>514687.1121864008</v>
      </c>
      <c r="BO62" s="4">
        <f t="shared" si="37"/>
        <v>519833.98330826481</v>
      </c>
      <c r="BP62" s="4">
        <f t="shared" si="37"/>
        <v>525032.3231413475</v>
      </c>
      <c r="BQ62" s="4">
        <f t="shared" si="37"/>
        <v>530282.646372761</v>
      </c>
      <c r="BR62" s="4">
        <f t="shared" si="37"/>
        <v>535585.47283648863</v>
      </c>
      <c r="BS62" s="4">
        <f t="shared" si="37"/>
        <v>540941.32756485348</v>
      </c>
      <c r="BT62" s="4">
        <f t="shared" si="37"/>
        <v>546350.74084050197</v>
      </c>
      <c r="BU62" s="4">
        <f t="shared" si="37"/>
        <v>551814.24824890704</v>
      </c>
      <c r="BV62" s="4">
        <f t="shared" si="37"/>
        <v>557332.39073139615</v>
      </c>
      <c r="BW62" s="4">
        <f t="shared" si="37"/>
        <v>562905.71463871014</v>
      </c>
      <c r="BX62" s="4">
        <f t="shared" si="37"/>
        <v>568534.7717850972</v>
      </c>
      <c r="BY62" s="4">
        <f t="shared" si="37"/>
        <v>574220.11950294813</v>
      </c>
      <c r="BZ62" s="4">
        <f t="shared" si="37"/>
        <v>579962.32069797767</v>
      </c>
      <c r="CA62" s="4">
        <f t="shared" si="37"/>
        <v>585761.9439049575</v>
      </c>
      <c r="CB62" s="4">
        <f t="shared" si="37"/>
        <v>591619.56334400713</v>
      </c>
      <c r="CC62" s="4">
        <f t="shared" si="37"/>
        <v>597535.75897744717</v>
      </c>
      <c r="CD62" s="4">
        <f t="shared" si="37"/>
        <v>603511.1165672217</v>
      </c>
      <c r="CE62" s="4">
        <f t="shared" si="37"/>
        <v>609546.22773289389</v>
      </c>
      <c r="CF62" s="4">
        <f t="shared" si="37"/>
        <v>615641.69001022284</v>
      </c>
      <c r="CG62" s="4">
        <f t="shared" si="37"/>
        <v>621798.10691032512</v>
      </c>
      <c r="CH62" s="4">
        <f t="shared" si="37"/>
        <v>628016.08797942835</v>
      </c>
      <c r="CI62" s="4">
        <f t="shared" ref="CI62:DN62" si="38">CH62*(1+$Y$55)</f>
        <v>634296.24885922263</v>
      </c>
      <c r="CJ62" s="4">
        <f t="shared" si="38"/>
        <v>640639.21134781488</v>
      </c>
      <c r="CK62" s="4">
        <f t="shared" si="38"/>
        <v>647045.60346129304</v>
      </c>
      <c r="CL62" s="4">
        <f t="shared" si="38"/>
        <v>653516.059495906</v>
      </c>
      <c r="CM62" s="4">
        <f t="shared" si="38"/>
        <v>660051.22009086504</v>
      </c>
      <c r="CN62" s="4">
        <f t="shared" si="38"/>
        <v>666651.73229177366</v>
      </c>
      <c r="CO62" s="4">
        <f t="shared" si="38"/>
        <v>673318.24961469136</v>
      </c>
      <c r="CP62" s="4">
        <f t="shared" si="38"/>
        <v>680051.43211083824</v>
      </c>
      <c r="CQ62" s="4">
        <f t="shared" si="38"/>
        <v>686851.94643194659</v>
      </c>
      <c r="CR62" s="4">
        <f t="shared" si="38"/>
        <v>693720.46589626605</v>
      </c>
      <c r="CS62" s="4">
        <f t="shared" si="38"/>
        <v>700657.67055522872</v>
      </c>
      <c r="CT62" s="4">
        <f t="shared" si="38"/>
        <v>707664.24726078101</v>
      </c>
      <c r="CU62" s="4">
        <f t="shared" si="38"/>
        <v>714740.88973338879</v>
      </c>
      <c r="CV62" s="4">
        <f t="shared" si="38"/>
        <v>721888.29863072268</v>
      </c>
      <c r="CW62" s="4">
        <f t="shared" si="38"/>
        <v>729107.18161702994</v>
      </c>
      <c r="CX62" s="4">
        <f t="shared" si="38"/>
        <v>736398.2534332003</v>
      </c>
      <c r="CY62" s="4">
        <f t="shared" si="38"/>
        <v>743762.23596753227</v>
      </c>
      <c r="CZ62" s="4">
        <f t="shared" si="38"/>
        <v>751199.85832720762</v>
      </c>
      <c r="DA62" s="4">
        <f t="shared" si="38"/>
        <v>758711.85691047972</v>
      </c>
      <c r="DB62" s="4">
        <f t="shared" si="38"/>
        <v>766298.97547958454</v>
      </c>
      <c r="DC62" s="4">
        <f t="shared" si="38"/>
        <v>773961.96523438033</v>
      </c>
      <c r="DD62" s="4">
        <f t="shared" si="38"/>
        <v>781701.58488672413</v>
      </c>
      <c r="DE62" s="4">
        <f t="shared" si="38"/>
        <v>789518.60073559138</v>
      </c>
      <c r="DF62" s="4">
        <f t="shared" si="38"/>
        <v>797413.7867429473</v>
      </c>
      <c r="DG62" s="4">
        <f t="shared" si="38"/>
        <v>805387.92461037682</v>
      </c>
      <c r="DH62" s="4">
        <f t="shared" si="38"/>
        <v>813441.80385648063</v>
      </c>
      <c r="DI62" s="4">
        <f t="shared" si="38"/>
        <v>821576.22189504548</v>
      </c>
      <c r="DJ62" s="4">
        <f t="shared" si="38"/>
        <v>829791.98411399592</v>
      </c>
      <c r="DK62" s="4">
        <f t="shared" si="38"/>
        <v>838089.90395513584</v>
      </c>
      <c r="DL62" s="4">
        <f t="shared" si="38"/>
        <v>846470.80299468723</v>
      </c>
      <c r="DM62" s="4">
        <f t="shared" si="38"/>
        <v>854935.51102463412</v>
      </c>
      <c r="DN62" s="4">
        <f t="shared" si="38"/>
        <v>863484.86613488046</v>
      </c>
      <c r="DO62" s="4">
        <f t="shared" ref="DO62:DU62" si="39">DN62*(1+$Y$55)</f>
        <v>872119.71479622927</v>
      </c>
      <c r="DP62" s="4">
        <f t="shared" si="39"/>
        <v>880840.91194419155</v>
      </c>
      <c r="DQ62" s="4">
        <f t="shared" si="39"/>
        <v>889649.32106363343</v>
      </c>
      <c r="DR62" s="4">
        <f t="shared" si="39"/>
        <v>898545.81427426974</v>
      </c>
      <c r="DS62" s="4">
        <f t="shared" si="39"/>
        <v>907531.27241701249</v>
      </c>
      <c r="DT62" s="4">
        <f t="shared" si="39"/>
        <v>916606.58514118264</v>
      </c>
      <c r="DU62" s="4">
        <f t="shared" si="39"/>
        <v>925772.65099259443</v>
      </c>
    </row>
  </sheetData>
  <hyperlinks>
    <hyperlink ref="A1" location="Sheet1!A1" display="Main" xr:uid="{B4B00122-8A85-4496-941B-16C16C07E4D3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2025-04-07T17:41:16Z</dcterms:created>
  <dcterms:modified xsi:type="dcterms:W3CDTF">2025-06-28T07:23:54Z</dcterms:modified>
</cp:coreProperties>
</file>