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E0DD316-CDF5-4F86-A62C-8DB49740DD26}" xr6:coauthVersionLast="47" xr6:coauthVersionMax="47" xr10:uidLastSave="{00000000-0000-0000-0000-000000000000}"/>
  <bookViews>
    <workbookView xWindow="1695" yWindow="375" windowWidth="22125" windowHeight="14250" activeTab="1" xr2:uid="{CC150222-A64E-41A9-970B-115CAE7D1BC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2" l="1"/>
  <c r="T11" i="2" s="1"/>
  <c r="P17" i="2"/>
  <c r="Q17" i="2"/>
  <c r="R17" i="2"/>
  <c r="O17" i="2"/>
  <c r="O19" i="2"/>
  <c r="P19" i="2" s="1"/>
  <c r="Q19" i="2" s="1"/>
  <c r="R19" i="2" s="1"/>
  <c r="S19" i="2" s="1"/>
  <c r="O20" i="2"/>
  <c r="P20" i="2" s="1"/>
  <c r="Q20" i="2" s="1"/>
  <c r="R20" i="2" s="1"/>
  <c r="P21" i="2"/>
  <c r="Q21" i="2"/>
  <c r="R21" i="2"/>
  <c r="S21" i="2"/>
  <c r="T21" i="2" s="1"/>
  <c r="U21" i="2" s="1"/>
  <c r="V21" i="2" s="1"/>
  <c r="W21" i="2" s="1"/>
  <c r="O21" i="2"/>
  <c r="O24" i="2"/>
  <c r="P24" i="2" s="1"/>
  <c r="Q24" i="2" s="1"/>
  <c r="R24" i="2" s="1"/>
  <c r="S24" i="2" s="1"/>
  <c r="T24" i="2" s="1"/>
  <c r="U24" i="2" s="1"/>
  <c r="V24" i="2" s="1"/>
  <c r="W24" i="2" s="1"/>
  <c r="P23" i="2"/>
  <c r="Q23" i="2"/>
  <c r="R23" i="2"/>
  <c r="S23" i="2"/>
  <c r="T23" i="2" s="1"/>
  <c r="U23" i="2" s="1"/>
  <c r="V23" i="2" s="1"/>
  <c r="W23" i="2" s="1"/>
  <c r="O23" i="2"/>
  <c r="O22" i="2"/>
  <c r="P22" i="2" s="1"/>
  <c r="Q22" i="2" s="1"/>
  <c r="R22" i="2" s="1"/>
  <c r="S22" i="2" s="1"/>
  <c r="T22" i="2" s="1"/>
  <c r="U22" i="2" s="1"/>
  <c r="V22" i="2" s="1"/>
  <c r="W22" i="2" s="1"/>
  <c r="O12" i="2"/>
  <c r="P12" i="2" s="1"/>
  <c r="Q12" i="2" s="1"/>
  <c r="R12" i="2" s="1"/>
  <c r="S12" i="2" s="1"/>
  <c r="T12" i="2" s="1"/>
  <c r="O9" i="2"/>
  <c r="P9" i="2" s="1"/>
  <c r="O11" i="2"/>
  <c r="P11" i="2" s="1"/>
  <c r="Q11" i="2" s="1"/>
  <c r="X22" i="2"/>
  <c r="X23" i="2"/>
  <c r="N56" i="2"/>
  <c r="M56" i="2"/>
  <c r="N55" i="2"/>
  <c r="M55" i="2"/>
  <c r="O107" i="2"/>
  <c r="P107" i="2" s="1"/>
  <c r="Q107" i="2" s="1"/>
  <c r="R107" i="2" s="1"/>
  <c r="S107" i="2" s="1"/>
  <c r="T107" i="2" s="1"/>
  <c r="U107" i="2" s="1"/>
  <c r="V107" i="2" s="1"/>
  <c r="W107" i="2" s="1"/>
  <c r="X107" i="2" s="1"/>
  <c r="D52" i="2"/>
  <c r="E52" i="2"/>
  <c r="F52" i="2"/>
  <c r="G52" i="2"/>
  <c r="C52" i="2"/>
  <c r="O97" i="2"/>
  <c r="P97" i="2" s="1"/>
  <c r="Q97" i="2" s="1"/>
  <c r="R97" i="2" s="1"/>
  <c r="S97" i="2" s="1"/>
  <c r="T97" i="2" s="1"/>
  <c r="U97" i="2" s="1"/>
  <c r="V97" i="2" s="1"/>
  <c r="W97" i="2" s="1"/>
  <c r="X97" i="2" s="1"/>
  <c r="L112" i="2"/>
  <c r="N110" i="2"/>
  <c r="N112" i="2" s="1"/>
  <c r="M110" i="2"/>
  <c r="M109" i="2"/>
  <c r="N92" i="2"/>
  <c r="M92" i="2"/>
  <c r="L92" i="2"/>
  <c r="Q9" i="2" l="1"/>
  <c r="U12" i="2"/>
  <c r="V12" i="2" s="1"/>
  <c r="W12" i="2" s="1"/>
  <c r="T46" i="2"/>
  <c r="T19" i="2"/>
  <c r="T47" i="2"/>
  <c r="U19" i="2"/>
  <c r="T48" i="2"/>
  <c r="U46" i="2"/>
  <c r="V45" i="2"/>
  <c r="T45" i="2"/>
  <c r="U45" i="2"/>
  <c r="M112" i="2"/>
  <c r="N68" i="2"/>
  <c r="N70" i="2" s="1"/>
  <c r="N74" i="2" s="1"/>
  <c r="M68" i="2"/>
  <c r="M70" i="2" s="1"/>
  <c r="M74" i="2" s="1"/>
  <c r="N84" i="2"/>
  <c r="M84" i="2"/>
  <c r="N54" i="2"/>
  <c r="M54" i="2"/>
  <c r="R9" i="2" l="1"/>
  <c r="U47" i="2"/>
  <c r="V19" i="2"/>
  <c r="U48" i="2"/>
  <c r="V46" i="2"/>
  <c r="W45" i="2"/>
  <c r="X45" i="2"/>
  <c r="M85" i="2"/>
  <c r="M86" i="2" s="1"/>
  <c r="N85" i="2"/>
  <c r="N86" i="2" s="1"/>
  <c r="G55" i="2"/>
  <c r="O44" i="2"/>
  <c r="P44" i="2"/>
  <c r="Q44" i="2"/>
  <c r="R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N44" i="2"/>
  <c r="N45" i="2"/>
  <c r="N46" i="2"/>
  <c r="N47" i="2"/>
  <c r="N48" i="2"/>
  <c r="N18" i="2"/>
  <c r="O18" i="2" s="1"/>
  <c r="P18" i="2" s="1"/>
  <c r="Q18" i="2" s="1"/>
  <c r="R18" i="2" s="1"/>
  <c r="S18" i="2" s="1"/>
  <c r="T18" i="2" s="1"/>
  <c r="U18" i="2" s="1"/>
  <c r="V18" i="2" s="1"/>
  <c r="W18" i="2" s="1"/>
  <c r="M18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M16" i="2"/>
  <c r="N15" i="2"/>
  <c r="O15" i="2" s="1"/>
  <c r="P15" i="2" s="1"/>
  <c r="Q15" i="2" s="1"/>
  <c r="R15" i="2" s="1"/>
  <c r="S15" i="2" s="1"/>
  <c r="T15" i="2" s="1"/>
  <c r="U15" i="2" s="1"/>
  <c r="V15" i="2" s="1"/>
  <c r="W15" i="2" s="1"/>
  <c r="M15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M14" i="2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M13" i="2"/>
  <c r="M10" i="2"/>
  <c r="N10" i="2"/>
  <c r="O10" i="2" s="1"/>
  <c r="N25" i="2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M25" i="2"/>
  <c r="H26" i="2"/>
  <c r="G56" i="2"/>
  <c r="G58" i="2"/>
  <c r="E41" i="2"/>
  <c r="F41" i="2"/>
  <c r="G41" i="2"/>
  <c r="D41" i="2"/>
  <c r="G40" i="2"/>
  <c r="M31" i="2"/>
  <c r="N31" i="2"/>
  <c r="L31" i="2"/>
  <c r="L28" i="2"/>
  <c r="L50" i="2" s="1"/>
  <c r="D28" i="2"/>
  <c r="D50" i="2" s="1"/>
  <c r="E28" i="2"/>
  <c r="E50" i="2" s="1"/>
  <c r="F28" i="2"/>
  <c r="F50" i="2" s="1"/>
  <c r="D31" i="2"/>
  <c r="E31" i="2"/>
  <c r="F31" i="2"/>
  <c r="C31" i="2"/>
  <c r="C28" i="2"/>
  <c r="C50" i="2" s="1"/>
  <c r="G31" i="2"/>
  <c r="G28" i="2"/>
  <c r="G50" i="2" s="1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P6" i="1"/>
  <c r="P5" i="1"/>
  <c r="P4" i="1"/>
  <c r="P7" i="1" s="1"/>
  <c r="P10" i="2" l="1"/>
  <c r="O26" i="2"/>
  <c r="S9" i="2"/>
  <c r="W19" i="2"/>
  <c r="V47" i="2"/>
  <c r="V48" i="2"/>
  <c r="X46" i="2"/>
  <c r="W46" i="2"/>
  <c r="I26" i="2"/>
  <c r="H52" i="2"/>
  <c r="G54" i="2"/>
  <c r="N26" i="2"/>
  <c r="M26" i="2"/>
  <c r="H33" i="2"/>
  <c r="H40" i="2"/>
  <c r="H41" i="2"/>
  <c r="F32" i="2"/>
  <c r="F34" i="2" s="1"/>
  <c r="D32" i="2"/>
  <c r="D51" i="2" s="1"/>
  <c r="E32" i="2"/>
  <c r="E34" i="2" s="1"/>
  <c r="G32" i="2"/>
  <c r="L32" i="2"/>
  <c r="C32" i="2"/>
  <c r="T9" i="2" l="1"/>
  <c r="S44" i="2"/>
  <c r="Q10" i="2"/>
  <c r="P26" i="2"/>
  <c r="W47" i="2"/>
  <c r="X47" i="2"/>
  <c r="W48" i="2"/>
  <c r="X48" i="2"/>
  <c r="N4" i="2"/>
  <c r="N2" i="2"/>
  <c r="N3" i="2"/>
  <c r="J26" i="2"/>
  <c r="J52" i="2" s="1"/>
  <c r="I52" i="2"/>
  <c r="M28" i="2"/>
  <c r="M88" i="2"/>
  <c r="N88" i="2"/>
  <c r="N40" i="2"/>
  <c r="M40" i="2"/>
  <c r="M32" i="2"/>
  <c r="M34" i="2" s="1"/>
  <c r="M36" i="2" s="1"/>
  <c r="M50" i="2"/>
  <c r="M3" i="2"/>
  <c r="M2" i="2"/>
  <c r="M4" i="2"/>
  <c r="N28" i="2"/>
  <c r="F51" i="2"/>
  <c r="E51" i="2"/>
  <c r="H27" i="2"/>
  <c r="H30" i="2"/>
  <c r="H29" i="2"/>
  <c r="D34" i="2"/>
  <c r="D42" i="2" s="1"/>
  <c r="I41" i="2"/>
  <c r="I40" i="2"/>
  <c r="G34" i="2"/>
  <c r="G51" i="2"/>
  <c r="E36" i="2"/>
  <c r="E38" i="2" s="1"/>
  <c r="E42" i="2"/>
  <c r="C34" i="2"/>
  <c r="C51" i="2"/>
  <c r="F36" i="2"/>
  <c r="F38" i="2" s="1"/>
  <c r="F42" i="2"/>
  <c r="L34" i="2"/>
  <c r="L51" i="2"/>
  <c r="R10" i="2" l="1"/>
  <c r="Q26" i="2"/>
  <c r="U9" i="2"/>
  <c r="T44" i="2"/>
  <c r="M42" i="2"/>
  <c r="O3" i="2"/>
  <c r="O4" i="2"/>
  <c r="O2" i="2"/>
  <c r="M51" i="2"/>
  <c r="M37" i="2"/>
  <c r="M90" i="2"/>
  <c r="M106" i="2" s="1"/>
  <c r="M113" i="2" s="1"/>
  <c r="M52" i="2" s="1"/>
  <c r="D36" i="2"/>
  <c r="D38" i="2" s="1"/>
  <c r="N50" i="2"/>
  <c r="N32" i="2"/>
  <c r="I29" i="2"/>
  <c r="H31" i="2"/>
  <c r="I30" i="2"/>
  <c r="I27" i="2"/>
  <c r="H28" i="2"/>
  <c r="O40" i="2"/>
  <c r="J40" i="2"/>
  <c r="J41" i="2"/>
  <c r="L36" i="2"/>
  <c r="L42" i="2"/>
  <c r="C36" i="2"/>
  <c r="C38" i="2" s="1"/>
  <c r="C42" i="2"/>
  <c r="G36" i="2"/>
  <c r="G38" i="2" s="1"/>
  <c r="G42" i="2"/>
  <c r="V9" i="2" l="1"/>
  <c r="U44" i="2"/>
  <c r="S10" i="2"/>
  <c r="R26" i="2"/>
  <c r="O100" i="2"/>
  <c r="O96" i="2"/>
  <c r="O99" i="2"/>
  <c r="P3" i="2"/>
  <c r="P2" i="2"/>
  <c r="P4" i="2"/>
  <c r="O101" i="2"/>
  <c r="O98" i="2"/>
  <c r="O109" i="2"/>
  <c r="O95" i="2"/>
  <c r="O108" i="2"/>
  <c r="O102" i="2"/>
  <c r="O111" i="2"/>
  <c r="O94" i="2"/>
  <c r="O110" i="2"/>
  <c r="O93" i="2"/>
  <c r="P93" i="2" s="1"/>
  <c r="O105" i="2"/>
  <c r="O104" i="2"/>
  <c r="O92" i="2"/>
  <c r="P92" i="2" s="1"/>
  <c r="Q92" i="2" s="1"/>
  <c r="R92" i="2" s="1"/>
  <c r="L37" i="2"/>
  <c r="L90" i="2"/>
  <c r="L106" i="2" s="1"/>
  <c r="L113" i="2" s="1"/>
  <c r="L52" i="2" s="1"/>
  <c r="N51" i="2"/>
  <c r="N34" i="2"/>
  <c r="H50" i="2"/>
  <c r="H32" i="2"/>
  <c r="J27" i="2"/>
  <c r="I28" i="2"/>
  <c r="J30" i="2"/>
  <c r="O30" i="2" s="1"/>
  <c r="J29" i="2"/>
  <c r="J31" i="2" s="1"/>
  <c r="I31" i="2"/>
  <c r="P40" i="2"/>
  <c r="T10" i="2" l="1"/>
  <c r="S26" i="2"/>
  <c r="W9" i="2"/>
  <c r="V44" i="2"/>
  <c r="P104" i="2"/>
  <c r="P105" i="2"/>
  <c r="Q2" i="2"/>
  <c r="Q3" i="2"/>
  <c r="Q4" i="2"/>
  <c r="P110" i="2"/>
  <c r="P108" i="2"/>
  <c r="O112" i="2"/>
  <c r="P103" i="2"/>
  <c r="P94" i="2"/>
  <c r="P111" i="2"/>
  <c r="P102" i="2"/>
  <c r="P95" i="2"/>
  <c r="P96" i="2"/>
  <c r="P109" i="2"/>
  <c r="P98" i="2"/>
  <c r="Q98" i="2" s="1"/>
  <c r="P99" i="2"/>
  <c r="P100" i="2"/>
  <c r="P101" i="2"/>
  <c r="N36" i="2"/>
  <c r="N42" i="2"/>
  <c r="O29" i="2"/>
  <c r="P29" i="2" s="1"/>
  <c r="P30" i="2"/>
  <c r="I50" i="2"/>
  <c r="I32" i="2"/>
  <c r="I51" i="2" s="1"/>
  <c r="J28" i="2"/>
  <c r="O27" i="2"/>
  <c r="H34" i="2"/>
  <c r="H51" i="2"/>
  <c r="Q40" i="2"/>
  <c r="X9" i="2" l="1"/>
  <c r="W44" i="2"/>
  <c r="U10" i="2"/>
  <c r="T26" i="2"/>
  <c r="Q96" i="2"/>
  <c r="Q100" i="2"/>
  <c r="Q99" i="2"/>
  <c r="R2" i="2"/>
  <c r="R3" i="2"/>
  <c r="R4" i="2"/>
  <c r="Q110" i="2"/>
  <c r="Q102" i="2"/>
  <c r="Q95" i="2"/>
  <c r="Q105" i="2"/>
  <c r="Q109" i="2"/>
  <c r="Q111" i="2"/>
  <c r="Q94" i="2"/>
  <c r="Q103" i="2"/>
  <c r="Q93" i="2"/>
  <c r="Q104" i="2"/>
  <c r="Q101" i="2"/>
  <c r="Q108" i="2"/>
  <c r="P112" i="2"/>
  <c r="N37" i="2"/>
  <c r="N90" i="2"/>
  <c r="N106" i="2" s="1"/>
  <c r="N113" i="2" s="1"/>
  <c r="N52" i="2" s="1"/>
  <c r="Q30" i="2"/>
  <c r="O31" i="2"/>
  <c r="H35" i="2"/>
  <c r="H36" i="2" s="1"/>
  <c r="J50" i="2"/>
  <c r="J32" i="2"/>
  <c r="J51" i="2" s="1"/>
  <c r="Q29" i="2"/>
  <c r="P31" i="2"/>
  <c r="P27" i="2"/>
  <c r="O28" i="2"/>
  <c r="R40" i="2"/>
  <c r="T3" i="2" l="1"/>
  <c r="T2" i="2"/>
  <c r="T4" i="2"/>
  <c r="T40" i="2"/>
  <c r="V10" i="2"/>
  <c r="U26" i="2"/>
  <c r="X44" i="2"/>
  <c r="R101" i="2"/>
  <c r="S3" i="2"/>
  <c r="S4" i="2"/>
  <c r="S2" i="2"/>
  <c r="R30" i="2"/>
  <c r="R93" i="2"/>
  <c r="R111" i="2"/>
  <c r="R94" i="2"/>
  <c r="R108" i="2"/>
  <c r="Q112" i="2"/>
  <c r="R104" i="2"/>
  <c r="R103" i="2"/>
  <c r="R109" i="2"/>
  <c r="R99" i="2"/>
  <c r="R105" i="2"/>
  <c r="R95" i="2"/>
  <c r="R96" i="2"/>
  <c r="R98" i="2"/>
  <c r="R102" i="2"/>
  <c r="R100" i="2"/>
  <c r="R110" i="2"/>
  <c r="Q27" i="2"/>
  <c r="P28" i="2"/>
  <c r="R29" i="2"/>
  <c r="Q31" i="2"/>
  <c r="O32" i="2"/>
  <c r="O51" i="2" s="1"/>
  <c r="O50" i="2"/>
  <c r="H38" i="2"/>
  <c r="H54" i="2"/>
  <c r="S40" i="2"/>
  <c r="S30" i="2" l="1"/>
  <c r="T30" i="2" s="1"/>
  <c r="U2" i="2"/>
  <c r="U4" i="2"/>
  <c r="U3" i="2"/>
  <c r="U40" i="2"/>
  <c r="W10" i="2"/>
  <c r="V26" i="2"/>
  <c r="S95" i="2"/>
  <c r="T95" i="2" s="1"/>
  <c r="U95" i="2" s="1"/>
  <c r="S92" i="2"/>
  <c r="T92" i="2" s="1"/>
  <c r="U92" i="2" s="1"/>
  <c r="S102" i="2"/>
  <c r="T102" i="2" s="1"/>
  <c r="U102" i="2" s="1"/>
  <c r="S98" i="2"/>
  <c r="T98" i="2" s="1"/>
  <c r="U98" i="2" s="1"/>
  <c r="S96" i="2"/>
  <c r="T96" i="2" s="1"/>
  <c r="U96" i="2" s="1"/>
  <c r="S105" i="2"/>
  <c r="T105" i="2" s="1"/>
  <c r="U105" i="2" s="1"/>
  <c r="S109" i="2"/>
  <c r="T109" i="2" s="1"/>
  <c r="U109" i="2" s="1"/>
  <c r="S103" i="2"/>
  <c r="T103" i="2" s="1"/>
  <c r="U103" i="2" s="1"/>
  <c r="S99" i="2"/>
  <c r="T99" i="2" s="1"/>
  <c r="U99" i="2" s="1"/>
  <c r="S104" i="2"/>
  <c r="T104" i="2" s="1"/>
  <c r="S108" i="2"/>
  <c r="T108" i="2" s="1"/>
  <c r="R112" i="2"/>
  <c r="S94" i="2"/>
  <c r="T94" i="2" s="1"/>
  <c r="S111" i="2"/>
  <c r="T111" i="2" s="1"/>
  <c r="S110" i="2"/>
  <c r="T110" i="2" s="1"/>
  <c r="U110" i="2" s="1"/>
  <c r="S93" i="2"/>
  <c r="T93" i="2" s="1"/>
  <c r="U93" i="2" s="1"/>
  <c r="S100" i="2"/>
  <c r="T100" i="2" s="1"/>
  <c r="U100" i="2" s="1"/>
  <c r="S101" i="2"/>
  <c r="T101" i="2" s="1"/>
  <c r="U101" i="2" s="1"/>
  <c r="I33" i="2"/>
  <c r="S29" i="2"/>
  <c r="R31" i="2"/>
  <c r="P32" i="2"/>
  <c r="P51" i="2" s="1"/>
  <c r="P50" i="2"/>
  <c r="R27" i="2"/>
  <c r="Q28" i="2"/>
  <c r="V4" i="2" l="1"/>
  <c r="V2" i="2"/>
  <c r="V3" i="2"/>
  <c r="V40" i="2"/>
  <c r="V103" i="2" s="1"/>
  <c r="X10" i="2"/>
  <c r="X26" i="2" s="1"/>
  <c r="W26" i="2"/>
  <c r="U108" i="2"/>
  <c r="V108" i="2" s="1"/>
  <c r="U94" i="2"/>
  <c r="U104" i="2"/>
  <c r="U30" i="2"/>
  <c r="T112" i="2"/>
  <c r="U111" i="2"/>
  <c r="S31" i="2"/>
  <c r="T29" i="2"/>
  <c r="S112" i="2"/>
  <c r="S27" i="2"/>
  <c r="R28" i="2"/>
  <c r="Q50" i="2"/>
  <c r="Q32" i="2"/>
  <c r="Q51" i="2" s="1"/>
  <c r="I34" i="2"/>
  <c r="X2" i="2" l="1"/>
  <c r="X3" i="2"/>
  <c r="X40" i="2"/>
  <c r="X4" i="2"/>
  <c r="V111" i="2"/>
  <c r="W2" i="2"/>
  <c r="W4" i="2"/>
  <c r="W40" i="2"/>
  <c r="W103" i="2" s="1"/>
  <c r="X103" i="2" s="1"/>
  <c r="W3" i="2"/>
  <c r="U112" i="2"/>
  <c r="V100" i="2"/>
  <c r="W100" i="2" s="1"/>
  <c r="X100" i="2" s="1"/>
  <c r="V104" i="2"/>
  <c r="W104" i="2" s="1"/>
  <c r="X104" i="2" s="1"/>
  <c r="V96" i="2"/>
  <c r="W96" i="2" s="1"/>
  <c r="X96" i="2" s="1"/>
  <c r="V109" i="2"/>
  <c r="W109" i="2" s="1"/>
  <c r="X109" i="2" s="1"/>
  <c r="V92" i="2"/>
  <c r="W92" i="2" s="1"/>
  <c r="X92" i="2" s="1"/>
  <c r="V101" i="2"/>
  <c r="V99" i="2"/>
  <c r="V93" i="2"/>
  <c r="V30" i="2"/>
  <c r="V102" i="2"/>
  <c r="V94" i="2"/>
  <c r="V110" i="2"/>
  <c r="V95" i="2"/>
  <c r="V105" i="2"/>
  <c r="V98" i="2"/>
  <c r="W98" i="2" s="1"/>
  <c r="X98" i="2" s="1"/>
  <c r="S28" i="2"/>
  <c r="S32" i="2" s="1"/>
  <c r="S51" i="2" s="1"/>
  <c r="T27" i="2"/>
  <c r="U29" i="2"/>
  <c r="T31" i="2"/>
  <c r="W108" i="2"/>
  <c r="V112" i="2"/>
  <c r="I35" i="2"/>
  <c r="I36" i="2" s="1"/>
  <c r="R50" i="2"/>
  <c r="R32" i="2"/>
  <c r="R51" i="2" s="1"/>
  <c r="W111" i="2" l="1"/>
  <c r="X111" i="2" s="1"/>
  <c r="S50" i="2"/>
  <c r="W30" i="2"/>
  <c r="X30" i="2" s="1"/>
  <c r="W105" i="2"/>
  <c r="X105" i="2" s="1"/>
  <c r="W95" i="2"/>
  <c r="X95" i="2" s="1"/>
  <c r="W110" i="2"/>
  <c r="X110" i="2" s="1"/>
  <c r="W94" i="2"/>
  <c r="X94" i="2" s="1"/>
  <c r="W102" i="2"/>
  <c r="X102" i="2" s="1"/>
  <c r="W93" i="2"/>
  <c r="X93" i="2" s="1"/>
  <c r="W99" i="2"/>
  <c r="X99" i="2" s="1"/>
  <c r="W101" i="2"/>
  <c r="X101" i="2" s="1"/>
  <c r="W112" i="2"/>
  <c r="X108" i="2"/>
  <c r="X112" i="2" s="1"/>
  <c r="V29" i="2"/>
  <c r="U31" i="2"/>
  <c r="T28" i="2"/>
  <c r="U27" i="2"/>
  <c r="I38" i="2"/>
  <c r="I54" i="2"/>
  <c r="U28" i="2" l="1"/>
  <c r="V27" i="2"/>
  <c r="T50" i="2"/>
  <c r="T32" i="2"/>
  <c r="T51" i="2" s="1"/>
  <c r="W29" i="2"/>
  <c r="V31" i="2"/>
  <c r="J33" i="2"/>
  <c r="W31" i="2" l="1"/>
  <c r="X29" i="2"/>
  <c r="X31" i="2" s="1"/>
  <c r="W27" i="2"/>
  <c r="V28" i="2"/>
  <c r="U50" i="2"/>
  <c r="U32" i="2"/>
  <c r="U51" i="2" s="1"/>
  <c r="J34" i="2"/>
  <c r="O33" i="2"/>
  <c r="O34" i="2" s="1"/>
  <c r="V50" i="2" l="1"/>
  <c r="V32" i="2"/>
  <c r="V51" i="2" s="1"/>
  <c r="X27" i="2"/>
  <c r="X28" i="2" s="1"/>
  <c r="W28" i="2"/>
  <c r="J35" i="2"/>
  <c r="O35" i="2" s="1"/>
  <c r="O36" i="2" s="1"/>
  <c r="O90" i="2" s="1"/>
  <c r="O106" i="2" s="1"/>
  <c r="O113" i="2" s="1"/>
  <c r="O52" i="2" s="1"/>
  <c r="W50" i="2" l="1"/>
  <c r="W32" i="2"/>
  <c r="W51" i="2" s="1"/>
  <c r="X32" i="2"/>
  <c r="X51" i="2" s="1"/>
  <c r="X50" i="2"/>
  <c r="J36" i="2"/>
  <c r="J38" i="2" s="1"/>
  <c r="O38" i="2"/>
  <c r="J54" i="2" l="1"/>
  <c r="O54" i="2" s="1"/>
  <c r="P33" i="2" s="1"/>
  <c r="P34" i="2" s="1"/>
  <c r="P35" i="2" l="1"/>
  <c r="P36" i="2" s="1"/>
  <c r="P90" i="2" s="1"/>
  <c r="P106" i="2" s="1"/>
  <c r="P113" i="2" s="1"/>
  <c r="P52" i="2" s="1"/>
  <c r="P38" i="2" l="1"/>
  <c r="P54" i="2"/>
  <c r="Q33" i="2" l="1"/>
  <c r="Q34" i="2" s="1"/>
  <c r="Q35" i="2" s="1"/>
  <c r="Q36" i="2" s="1"/>
  <c r="Q54" i="2" l="1"/>
  <c r="R33" i="2" s="1"/>
  <c r="R34" i="2" s="1"/>
  <c r="R35" i="2" s="1"/>
  <c r="R36" i="2" s="1"/>
  <c r="Q90" i="2"/>
  <c r="Q106" i="2" s="1"/>
  <c r="Q113" i="2" s="1"/>
  <c r="Q52" i="2" s="1"/>
  <c r="Q38" i="2"/>
  <c r="R54" i="2" l="1"/>
  <c r="S33" i="2" s="1"/>
  <c r="S34" i="2" s="1"/>
  <c r="S35" i="2" s="1"/>
  <c r="S36" i="2" s="1"/>
  <c r="S38" i="2" s="1"/>
  <c r="R90" i="2"/>
  <c r="R106" i="2" s="1"/>
  <c r="R113" i="2" s="1"/>
  <c r="R52" i="2" s="1"/>
  <c r="R38" i="2"/>
  <c r="S54" i="2" l="1"/>
  <c r="T33" i="2"/>
  <c r="T34" i="2" s="1"/>
  <c r="S90" i="2"/>
  <c r="S106" i="2" s="1"/>
  <c r="S113" i="2" s="1"/>
  <c r="T35" i="2" l="1"/>
  <c r="T36" i="2" s="1"/>
  <c r="T90" i="2" s="1"/>
  <c r="T106" i="2" s="1"/>
  <c r="T113" i="2" s="1"/>
  <c r="S52" i="2"/>
  <c r="T38" i="2" l="1"/>
  <c r="T54" i="2"/>
  <c r="T52" i="2"/>
  <c r="U33" i="2" l="1"/>
  <c r="U34" i="2" s="1"/>
  <c r="U35" i="2" s="1"/>
  <c r="U36" i="2" s="1"/>
  <c r="U54" i="2" s="1"/>
  <c r="U38" i="2" l="1"/>
  <c r="U90" i="2"/>
  <c r="U106" i="2" s="1"/>
  <c r="U113" i="2" s="1"/>
  <c r="U52" i="2" s="1"/>
  <c r="V33" i="2"/>
  <c r="V34" i="2" s="1"/>
  <c r="V35" i="2" l="1"/>
  <c r="V36" i="2" s="1"/>
  <c r="V90" i="2" s="1"/>
  <c r="V106" i="2" s="1"/>
  <c r="V113" i="2" s="1"/>
  <c r="V52" i="2" s="1"/>
  <c r="V38" i="2" l="1"/>
  <c r="V54" i="2"/>
  <c r="W33" i="2" l="1"/>
  <c r="W34" i="2" s="1"/>
  <c r="W35" i="2" s="1"/>
  <c r="W36" i="2" s="1"/>
  <c r="W54" i="2" s="1"/>
  <c r="W38" i="2" l="1"/>
  <c r="W90" i="2"/>
  <c r="W106" i="2" s="1"/>
  <c r="W113" i="2" s="1"/>
  <c r="W52" i="2" s="1"/>
  <c r="X33" i="2"/>
  <c r="X34" i="2" s="1"/>
  <c r="X35" i="2" s="1"/>
  <c r="X36" i="2" s="1"/>
  <c r="X90" i="2" s="1"/>
  <c r="X106" i="2" s="1"/>
  <c r="X113" i="2" s="1"/>
  <c r="X54" i="2" l="1"/>
  <c r="Y113" i="2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DL113" i="2" s="1"/>
  <c r="AA106" i="2" s="1"/>
  <c r="AA107" i="2" s="1"/>
  <c r="AA108" i="2" s="1"/>
  <c r="X52" i="2"/>
  <c r="X38" i="2"/>
  <c r="Y36" i="2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  <c r="DM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tc={BEB33B97-0A35-4D36-A324-3F347D60BBF8}</author>
    <author>tc={B2FC9D23-7AE3-45FD-A7DD-A72AA6CEA661}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R9" authorId="0" shapeId="0" xr:uid="{BEB33B97-0A35-4D36-A324-3F347D60BBF8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</t>
      </text>
    </comment>
    <comment ref="R11" authorId="1" shapeId="0" xr:uid="{B2FC9D23-7AE3-45FD-A7DD-A72AA6CE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“previous 11B target, patent expires 2028 withdrew target bc of china”</t>
      </text>
    </comment>
    <comment ref="O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O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O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O50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<sst xmlns="http://schemas.openxmlformats.org/spreadsheetml/2006/main" count="132" uniqueCount="115">
  <si>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</si>
  <si>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</si>
  <si>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</si>
  <si>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</si>
  <si>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</si>
  <si>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</si>
  <si>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</si>
  <si>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</si>
  <si>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</si>
  <si>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</si>
  <si>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</si>
  <si>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</si>
  <si>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</si>
  <si>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</si>
  <si>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</si>
  <si>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</si>
  <si>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</si>
  <si>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</si>
  <si>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</si>
  <si>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</si>
  <si>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</si>
  <si>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</si>
  <si>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</si>
  <si>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</si>
  <si>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</si>
  <si>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</si>
  <si>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</si>
  <si>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</si>
  <si>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</si>
  <si>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</si>
  <si>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</si>
  <si>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</si>
  <si>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</si>
  <si>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</si>
  <si>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</si>
  <si>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</si>
  <si>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</si>
  <si>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</si>
  <si>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</si>
  <si>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</si>
  <si>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</si>
  <si>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</si>
  <si>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</si>
  <si>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</si>
  <si>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</si>
  <si>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</si>
  <si>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</si>
  <si>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</si>
  <si>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</si>
  <si>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</si>
  <si>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</si>
  <si>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</si>
  <si>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</si>
  <si>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</si>
  <si>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</si>
  <si>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</si>
  <si>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</si>
  <si>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</si>
  <si>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</si>
  <si>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</si>
  <si>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</si>
  <si>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</si>
  <si>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</si>
  <si>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</si>
  <si>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</si>
  <si>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</si>
  <si>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</si>
  <si>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</si>
  <si>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</si>
  <si>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</si>
  <si>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</si>
  <si>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</si>
  <si>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</si>
  <si>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</si>
  <si>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</si>
  <si>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</si>
  <si>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</si>
  <si>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</si>
  <si>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</si>
  <si>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</si>
  <si>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</si>
  <si>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</si>
  <si>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</si>
  <si>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</si>
  <si>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</si>
  <si>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</si>
  <si>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</si>
  <si>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</si>
  <si>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</si>
  <si>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</si>
  <si>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</si>
  <si>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</si>
  <si>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</si>
  <si>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</si>
  <si>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</si>
  <si>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</si>
  <si>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</si>
  <si>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</si>
  <si>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</si>
  <si>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</si>
  <si>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</si>
  <si>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</si>
  <si>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</si>
  <si>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</si>
  <si>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</si>
  <si>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</si>
  <si>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</si>
  <si>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</si>
  <si>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</si>
  <si>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</si>
  <si>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</si>
  <si>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</si>
  <si>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</si>
  <si>
    <t>SBC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</si>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</sst>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4" fillId="0" borderId="0" xfId="1" applyNumberFormat="1" applyFont="1"/>
    <xf numFmtId="1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19050</xdr:rowOff>
    </xdr:from>
    <xdr:to>
      <xdr:col>14</xdr:col>
      <xdr:colOff>19050</xdr:colOff>
      <xdr:row>124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2707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0</xdr:rowOff>
    </xdr:from>
    <xdr:to>
      <xdr:col>7</xdr:col>
      <xdr:colOff>28575</xdr:colOff>
      <xdr:row>77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5-05-30T23:08:53.39" personId="{3AE884F7-F7CD-4229-B1B0-CD6E7AA78978}" id="{BEB33B97-0A35-4D36-A324-3F347D60BBF8}">
    <text>expire</text>
  </threadedComment>
  <threadedComment ref="R11" dT="2025-05-07T00:56:12.61" personId="{3AE884F7-F7CD-4229-B1B0-CD6E7AA78978}" id="{B2FC9D23-7AE3-45FD-A7DD-A72AA6CEA661}">
    <text>“previous 11B target, patent expires 2028 withdrew target bc of china”</text>
  </threadedComment>
  <threadedComment ref="O31" dT="2025-05-05T05:56:51.71" personId="{3AE884F7-F7CD-4229-B1B0-CD6E7AA78978}" id="{2DC5972C-B77A-4237-85F2-0DBD4E83C3B7}">
    <text>25.4b - 26.5b non-GAAP OPEX</text>
  </threadedComment>
  <threadedComment ref="O37" dT="2025-05-05T05:57:34.49" personId="{3AE884F7-F7CD-4229-B1B0-CD6E7AA78978}" id="{C500BEB0-5DD6-411C-BB22-78295064A10F}">
    <text>2.53b guidance</text>
  </threadedComment>
  <threadedComment ref="O38" dT="2025-05-05T05:57:48.11" personId="{3AE884F7-F7CD-4229-B1B0-CD6E7AA78978}" id="{549A204D-10BB-432F-9377-F289F3FEB7FA}">
    <text>Non-gaap guidance 8.88 to 9.03</text>
  </threadedComment>
  <threadedComment ref="O50" dT="2025-05-05T05:56:26.79" personId="{3AE884F7-F7CD-4229-B1B0-CD6E7AA78978}" id="{08F442A1-E94E-4DF7-A297-B168EB7FF1BA}">
    <text>82.5% non GAAP gross margin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Q7"/>
  <sheetViews>
    <sheetView zoomScale="115" zoomScaleNormal="115" workbookViewId="0">
      <selection activeCell="P3" sqref="P3"/>
    </sheetView>
  </sheetViews>
  <sheetFormatPr defaultRowHeight="12.75" x14ac:dyDescent="0.2"/>
  <cols>
    <col min="1" max="1" width="3.7109375" style="2" customWidth="1"/>
    <col min="2" max="16384" width="9.140625" style="2"/>
  </cols>
  <sheetData>
    <row r="1" spans="1:17" x14ac:dyDescent="0.2">
      <c r="A1" s="1"/>
    </row>
    <row r="2" spans="1:17" x14ac:dyDescent="0.2">
      <c r="B2" s="2" t="s">
        <v>42</v>
      </c>
      <c r="O2" s="2" t="s">
        <v>0</v>
      </c>
      <c r="P2" s="3">
        <v>78</v>
      </c>
    </row>
    <row r="3" spans="1:17" x14ac:dyDescent="0.2">
      <c r="B3" s="2" t="s">
        <v>58</v>
      </c>
      <c r="O3" s="2" t="s">
        <v>1</v>
      </c>
      <c r="P3" s="4">
        <v>2511.0309999999999</v>
      </c>
      <c r="Q3" s="2" t="s">
        <v>29</v>
      </c>
    </row>
    <row r="4" spans="1:17" x14ac:dyDescent="0.2">
      <c r="B4" s="2" t="s">
        <v>109</v>
      </c>
      <c r="O4" s="2" t="s">
        <v>2</v>
      </c>
      <c r="P4" s="4">
        <f>P3*P2</f>
        <v>195860.41800000001</v>
      </c>
    </row>
    <row r="5" spans="1:17" x14ac:dyDescent="0.2">
      <c r="B5" s="2" t="s">
        <v>110</v>
      </c>
      <c r="O5" s="2" t="s">
        <v>3</v>
      </c>
      <c r="P5" s="4">
        <f>8629+599</f>
        <v>9228</v>
      </c>
      <c r="Q5" s="2" t="s">
        <v>29</v>
      </c>
    </row>
    <row r="6" spans="1:17" x14ac:dyDescent="0.2">
      <c r="B6" s="2" t="s">
        <v>112</v>
      </c>
      <c r="O6" s="2" t="s">
        <v>4</v>
      </c>
      <c r="P6" s="4">
        <f>33484+1409+6655</f>
        <v>41548</v>
      </c>
      <c r="Q6" s="2" t="s">
        <v>29</v>
      </c>
    </row>
    <row r="7" spans="1:17" x14ac:dyDescent="0.2">
      <c r="O7" s="2" t="s">
        <v>5</v>
      </c>
      <c r="P7" s="4">
        <f>P4+P6-P5</f>
        <v>228180.41800000001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M113"/>
  <sheetViews>
    <sheetView tabSelected="1" zoomScale="130" zoomScaleNormal="130" workbookViewId="0">
      <pane xSplit="2" ySplit="1" topLeftCell="T95" activePane="bottomRight" state="frozen"/>
      <selection pane="topRight" activeCell="B1" sqref="B1"/>
      <selection pane="bottomLeft" activeCell="A2" sqref="A2"/>
      <selection pane="bottomRight" activeCell="AA106" sqref="AA106"/>
    </sheetView>
  </sheetViews>
  <sheetFormatPr defaultRowHeight="12.75" x14ac:dyDescent="0.2"/>
  <cols>
    <col min="1" max="1" width="5.28515625" style="4" customWidth="1"/>
    <col min="2" max="2" width="21.7109375" style="4" customWidth="1"/>
    <col min="3" max="13" width="9.140625" style="4"/>
    <col min="14" max="14" width="9.5703125" style="4" bestFit="1" customWidth="1"/>
    <col min="15" max="16384" width="9.140625" style="4"/>
  </cols>
  <sheetData>
    <row r="1" spans="1:24" ht="13.5" x14ac:dyDescent="0.25">
      <c r="A1" s="5" t="s">
        <v>114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33</v>
      </c>
      <c r="J1" s="4" t="s">
        <v>34</v>
      </c>
      <c r="L1" s="6">
        <v>2022</v>
      </c>
      <c r="M1" s="6">
        <f>L1+1</f>
        <v>2023</v>
      </c>
      <c r="N1" s="6">
        <f t="shared" ref="N1:S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ref="T1" si="1">S1+1</f>
        <v>2030</v>
      </c>
      <c r="U1" s="6">
        <f t="shared" ref="U1" si="2">T1+1</f>
        <v>2031</v>
      </c>
      <c r="V1" s="6">
        <f t="shared" ref="V1" si="3">U1+1</f>
        <v>2032</v>
      </c>
      <c r="W1" s="6">
        <f t="shared" ref="W1" si="4">V1+1</f>
        <v>2033</v>
      </c>
      <c r="X1" s="6">
        <f t="shared" ref="X1" si="5">W1+1</f>
        <v>2034</v>
      </c>
    </row>
    <row r="2" spans="1:24" x14ac:dyDescent="0.2">
      <c r="B2" s="4" t="s">
        <v>59</v>
      </c>
      <c r="L2" s="6"/>
      <c r="M2" s="7">
        <f>SUM(M9:M10)/M26</f>
        <v>0.45912001996174001</v>
      </c>
      <c r="N2" s="7">
        <f t="shared" ref="N2:S2" si="6">SUM(N9:N10)/N26</f>
        <v>0.50933487096372021</v>
      </c>
      <c r="O2" s="7">
        <f t="shared" si="6"/>
        <v>0.51336284663004117</v>
      </c>
      <c r="P2" s="7">
        <f t="shared" si="6"/>
        <v>0.5165344210425532</v>
      </c>
      <c r="Q2" s="7">
        <f t="shared" si="6"/>
        <v>0.51877599874123548</v>
      </c>
      <c r="R2" s="7">
        <f t="shared" si="6"/>
        <v>0.52410629925445829</v>
      </c>
      <c r="S2" s="7">
        <f t="shared" si="6"/>
        <v>0.41760165244696229</v>
      </c>
      <c r="T2" s="7">
        <f t="shared" ref="T2:X2" si="7">SUM(T9:T10)/T26</f>
        <v>0.41842793071585987</v>
      </c>
      <c r="U2" s="7">
        <f t="shared" si="7"/>
        <v>0.40719922606485759</v>
      </c>
      <c r="V2" s="7">
        <f t="shared" si="7"/>
        <v>0.39102180269787529</v>
      </c>
      <c r="W2" s="7">
        <f t="shared" si="7"/>
        <v>0.37327322548771447</v>
      </c>
      <c r="X2" s="7">
        <f t="shared" si="7"/>
        <v>0.35808010877183782</v>
      </c>
    </row>
    <row r="3" spans="1:24" x14ac:dyDescent="0.2">
      <c r="B3" s="4" t="s">
        <v>60</v>
      </c>
      <c r="L3" s="6"/>
      <c r="M3" s="7">
        <f>SUM(M12:M13)/M26</f>
        <v>7.009897696082508E-2</v>
      </c>
      <c r="N3" s="7">
        <f t="shared" ref="N3:S3" si="8">SUM(N12:N13)/N26</f>
        <v>6.6497319536217431E-2</v>
      </c>
      <c r="O3" s="7">
        <f t="shared" si="8"/>
        <v>6.5799943392529259E-2</v>
      </c>
      <c r="P3" s="7">
        <f t="shared" si="8"/>
        <v>6.5080130143312667E-2</v>
      </c>
      <c r="Q3" s="7">
        <f t="shared" si="8"/>
        <v>6.433140832117451E-2</v>
      </c>
      <c r="R3" s="7">
        <f t="shared" si="8"/>
        <v>6.4046888897165005E-2</v>
      </c>
      <c r="S3" s="7">
        <f t="shared" si="8"/>
        <v>0.10149658849729989</v>
      </c>
      <c r="T3" s="7">
        <f t="shared" ref="T3:X3" si="9">SUM(T12:T13)/T26</f>
        <v>0.10183719529105614</v>
      </c>
      <c r="U3" s="7">
        <f t="shared" si="9"/>
        <v>9.9262640764079771E-2</v>
      </c>
      <c r="V3" s="7">
        <f t="shared" si="9"/>
        <v>9.5492308946187515E-2</v>
      </c>
      <c r="W3" s="7">
        <f t="shared" si="9"/>
        <v>9.1343360812853533E-2</v>
      </c>
      <c r="X3" s="7">
        <f t="shared" si="9"/>
        <v>8.6484287547413261E-2</v>
      </c>
    </row>
    <row r="4" spans="1:24" x14ac:dyDescent="0.2">
      <c r="B4" s="4" t="s">
        <v>61</v>
      </c>
      <c r="L4" s="6"/>
      <c r="M4" s="7">
        <f>SUM(M22:M23)/M26</f>
        <v>9.3570656242202441E-2</v>
      </c>
      <c r="N4" s="7">
        <f t="shared" ref="N4:S4" si="10">SUM(N22:N23)/N26</f>
        <v>9.1587707268420401E-2</v>
      </c>
      <c r="O4" s="7">
        <f t="shared" si="10"/>
        <v>9.1776821417944576E-2</v>
      </c>
      <c r="P4" s="7">
        <f t="shared" si="10"/>
        <v>9.1766060864101828E-2</v>
      </c>
      <c r="Q4" s="7">
        <f t="shared" si="10"/>
        <v>9.1548054530088699E-2</v>
      </c>
      <c r="R4" s="7">
        <f t="shared" si="10"/>
        <v>9.1833122449316615E-2</v>
      </c>
      <c r="S4" s="7">
        <f t="shared" si="10"/>
        <v>0.14639611094731786</v>
      </c>
      <c r="T4" s="7">
        <f t="shared" ref="T4:X4" si="11">SUM(T22:T23)/T26</f>
        <v>0.15237551548246211</v>
      </c>
      <c r="U4" s="7">
        <f t="shared" si="11"/>
        <v>0.15402599111200557</v>
      </c>
      <c r="V4" s="7">
        <f t="shared" si="11"/>
        <v>0.15361967905594051</v>
      </c>
      <c r="W4" s="7">
        <f t="shared" si="11"/>
        <v>0.15144052029419108</v>
      </c>
      <c r="X4" s="7">
        <f t="shared" si="11"/>
        <v>0.14587724193733573</v>
      </c>
    </row>
    <row r="5" spans="1:24" x14ac:dyDescent="0.2"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">
      <c r="B6" s="4" t="s">
        <v>111</v>
      </c>
      <c r="L6" s="6"/>
      <c r="M6" s="7"/>
      <c r="N6" s="7"/>
      <c r="O6" s="7"/>
      <c r="P6" s="7"/>
      <c r="Q6" s="7"/>
      <c r="R6" s="7"/>
      <c r="S6" s="7"/>
      <c r="T6" s="6"/>
      <c r="U6" s="6"/>
      <c r="V6" s="6"/>
      <c r="W6" s="6"/>
      <c r="X6" s="4">
        <v>5000</v>
      </c>
    </row>
    <row r="7" spans="1:24" x14ac:dyDescent="0.2">
      <c r="B7" s="4" t="s">
        <v>96</v>
      </c>
      <c r="L7" s="6"/>
      <c r="M7" s="7"/>
      <c r="N7" s="7"/>
      <c r="O7" s="6"/>
      <c r="P7" s="6"/>
      <c r="Q7" s="6"/>
      <c r="R7" s="6"/>
      <c r="S7" s="6"/>
      <c r="T7" s="6"/>
      <c r="U7" s="6"/>
      <c r="V7" s="6"/>
      <c r="W7" s="6"/>
      <c r="X7" s="6">
        <v>0</v>
      </c>
    </row>
    <row r="8" spans="1:24" x14ac:dyDescent="0.2">
      <c r="B8" s="4" t="s">
        <v>67</v>
      </c>
      <c r="G8" s="4">
        <v>441</v>
      </c>
      <c r="L8" s="6"/>
      <c r="M8" s="7"/>
      <c r="N8" s="7"/>
      <c r="O8" s="6"/>
      <c r="P8" s="6"/>
      <c r="Q8" s="6"/>
      <c r="R8" s="6"/>
      <c r="S8" s="6"/>
      <c r="T8" s="6"/>
      <c r="U8" s="6"/>
      <c r="V8" s="6"/>
      <c r="W8" s="6"/>
      <c r="X8" s="6">
        <v>0</v>
      </c>
    </row>
    <row r="9" spans="1:24" s="8" customFormat="1" x14ac:dyDescent="0.2">
      <c r="B9" s="8" t="s">
        <v>40</v>
      </c>
      <c r="G9" s="8">
        <v>7205</v>
      </c>
      <c r="M9" s="8">
        <v>25011</v>
      </c>
      <c r="N9" s="8">
        <v>29482</v>
      </c>
      <c r="O9" s="8">
        <f>N9*1.09</f>
        <v>32135.38</v>
      </c>
      <c r="P9" s="8">
        <f t="shared" ref="P9:R9" si="12">O9*1.09</f>
        <v>35027.564200000001</v>
      </c>
      <c r="Q9" s="8">
        <f t="shared" si="12"/>
        <v>38180.044978000005</v>
      </c>
      <c r="R9" s="8">
        <f t="shared" si="12"/>
        <v>41616.249026020007</v>
      </c>
      <c r="S9" s="8">
        <f>R9*0.5</f>
        <v>20808.124513010003</v>
      </c>
      <c r="T9" s="8">
        <f>S9*1.04</f>
        <v>21640.449493530403</v>
      </c>
      <c r="U9" s="8">
        <f t="shared" ref="U9:X9" si="13">T9*1.04</f>
        <v>22506.067473271618</v>
      </c>
      <c r="V9" s="8">
        <f t="shared" si="13"/>
        <v>23406.310172202484</v>
      </c>
      <c r="W9" s="8">
        <f t="shared" si="13"/>
        <v>24342.562579090583</v>
      </c>
      <c r="X9" s="8">
        <f t="shared" si="13"/>
        <v>25316.265082254209</v>
      </c>
    </row>
    <row r="10" spans="1:24" x14ac:dyDescent="0.2">
      <c r="B10" s="4" t="s">
        <v>49</v>
      </c>
      <c r="M10" s="4">
        <f>1199+960+218+212</f>
        <v>2589</v>
      </c>
      <c r="N10" s="4">
        <f>1311+1010+509+371</f>
        <v>3201</v>
      </c>
      <c r="O10" s="4">
        <f>N10*1.01</f>
        <v>3233.01</v>
      </c>
      <c r="P10" s="4">
        <f t="shared" ref="P10:X10" si="14">O10*1.01</f>
        <v>3265.3401000000003</v>
      </c>
      <c r="Q10" s="4">
        <f t="shared" si="14"/>
        <v>3297.9935010000004</v>
      </c>
      <c r="R10" s="4">
        <f t="shared" si="14"/>
        <v>3330.9734360100006</v>
      </c>
      <c r="S10" s="4">
        <f t="shared" si="14"/>
        <v>3364.2831703701004</v>
      </c>
      <c r="T10" s="4">
        <f t="shared" si="14"/>
        <v>3397.9260020738016</v>
      </c>
      <c r="U10" s="4">
        <f t="shared" si="14"/>
        <v>3431.9052620945395</v>
      </c>
      <c r="V10" s="4">
        <f t="shared" si="14"/>
        <v>3466.224314715485</v>
      </c>
      <c r="W10" s="4">
        <f t="shared" si="14"/>
        <v>3500.8865578626401</v>
      </c>
      <c r="X10" s="4">
        <f t="shared" si="14"/>
        <v>3535.8954234412663</v>
      </c>
    </row>
    <row r="11" spans="1:24" s="8" customFormat="1" x14ac:dyDescent="0.2">
      <c r="B11" s="8" t="s">
        <v>41</v>
      </c>
      <c r="G11" s="8">
        <v>1327</v>
      </c>
      <c r="M11" s="8">
        <v>8886</v>
      </c>
      <c r="N11" s="8">
        <v>8583</v>
      </c>
      <c r="O11" s="8">
        <f>N11*1.08</f>
        <v>9269.6400000000012</v>
      </c>
      <c r="P11" s="8">
        <f t="shared" ref="P11:Q11" si="15">O11*1.08</f>
        <v>10011.211200000002</v>
      </c>
      <c r="Q11" s="8">
        <f t="shared" si="15"/>
        <v>10812.108096000002</v>
      </c>
      <c r="R11" s="8">
        <v>11000</v>
      </c>
      <c r="S11" s="8">
        <f>R11*0.2</f>
        <v>2200</v>
      </c>
      <c r="T11" s="8">
        <f>S11*0.2</f>
        <v>440</v>
      </c>
      <c r="U11" s="8">
        <v>0</v>
      </c>
      <c r="V11" s="8">
        <v>0</v>
      </c>
      <c r="W11" s="8">
        <v>0</v>
      </c>
      <c r="X11" s="8">
        <v>0</v>
      </c>
    </row>
    <row r="12" spans="1:24" s="8" customFormat="1" x14ac:dyDescent="0.2">
      <c r="B12" s="8" t="s">
        <v>45</v>
      </c>
      <c r="G12" s="8">
        <v>539</v>
      </c>
      <c r="M12" s="8">
        <v>2368</v>
      </c>
      <c r="N12" s="8">
        <v>2485</v>
      </c>
      <c r="O12" s="8">
        <f>N12*1.1</f>
        <v>2733.5</v>
      </c>
      <c r="P12" s="8">
        <f t="shared" ref="P12:S12" si="16">O12*1.1</f>
        <v>3006.8500000000004</v>
      </c>
      <c r="Q12" s="8">
        <f t="shared" si="16"/>
        <v>3307.5350000000008</v>
      </c>
      <c r="R12" s="8">
        <f t="shared" si="16"/>
        <v>3638.288500000001</v>
      </c>
      <c r="S12" s="8">
        <f t="shared" si="16"/>
        <v>4002.1173500000014</v>
      </c>
      <c r="T12" s="8">
        <f t="shared" ref="T12:W12" si="17">S12*1.05</f>
        <v>4202.2232175000017</v>
      </c>
      <c r="U12" s="8">
        <f t="shared" si="17"/>
        <v>4412.3343783750024</v>
      </c>
      <c r="V12" s="8">
        <f t="shared" si="17"/>
        <v>4632.9510972937524</v>
      </c>
      <c r="W12" s="8">
        <f t="shared" si="17"/>
        <v>4864.59865215844</v>
      </c>
      <c r="X12" s="8">
        <v>5000</v>
      </c>
    </row>
    <row r="13" spans="1:24" x14ac:dyDescent="0.2">
      <c r="B13" s="4" t="s">
        <v>50</v>
      </c>
      <c r="M13" s="4">
        <f>665+769+412</f>
        <v>1846</v>
      </c>
      <c r="N13" s="4">
        <f>808+711+263</f>
        <v>1782</v>
      </c>
      <c r="O13" s="4">
        <f>N13*1.01</f>
        <v>1799.82</v>
      </c>
      <c r="P13" s="4">
        <f t="shared" ref="P13:X13" si="18">O13*1.01</f>
        <v>1817.8181999999999</v>
      </c>
      <c r="Q13" s="4">
        <f t="shared" si="18"/>
        <v>1835.996382</v>
      </c>
      <c r="R13" s="4">
        <f t="shared" si="18"/>
        <v>1854.3563458200001</v>
      </c>
      <c r="S13" s="4">
        <f t="shared" si="18"/>
        <v>1872.8999092782001</v>
      </c>
      <c r="T13" s="4">
        <f t="shared" si="18"/>
        <v>1891.6289083709821</v>
      </c>
      <c r="U13" s="4">
        <f t="shared" si="18"/>
        <v>1910.545197454692</v>
      </c>
      <c r="V13" s="4">
        <f t="shared" si="18"/>
        <v>1929.6506494292389</v>
      </c>
      <c r="W13" s="4">
        <f t="shared" si="18"/>
        <v>1948.9471559235312</v>
      </c>
      <c r="X13" s="4">
        <f t="shared" si="18"/>
        <v>1968.4366274827667</v>
      </c>
    </row>
    <row r="14" spans="1:24" x14ac:dyDescent="0.2">
      <c r="B14" s="4" t="s">
        <v>46</v>
      </c>
      <c r="M14" s="4">
        <f>1842+605+302+218+213</f>
        <v>3180</v>
      </c>
      <c r="N14" s="4">
        <f>1764+785+340+252+177</f>
        <v>3318</v>
      </c>
      <c r="O14" s="4">
        <f>N14*1.02</f>
        <v>3384.36</v>
      </c>
      <c r="P14" s="4">
        <f t="shared" ref="P14:W14" si="19">O14*1.02</f>
        <v>3452.0472</v>
      </c>
      <c r="Q14" s="4">
        <f t="shared" si="19"/>
        <v>3521.0881439999998</v>
      </c>
      <c r="R14" s="4">
        <f t="shared" si="19"/>
        <v>3591.50990688</v>
      </c>
      <c r="S14" s="4">
        <f t="shared" si="19"/>
        <v>3663.3401050176003</v>
      </c>
      <c r="T14" s="4">
        <f t="shared" si="19"/>
        <v>3736.6069071179522</v>
      </c>
      <c r="U14" s="4">
        <f t="shared" si="19"/>
        <v>3811.3390452603112</v>
      </c>
      <c r="V14" s="4">
        <f t="shared" si="19"/>
        <v>3887.5658261655176</v>
      </c>
      <c r="W14" s="4">
        <f t="shared" si="19"/>
        <v>3965.317142688828</v>
      </c>
      <c r="X14" s="4">
        <v>4000</v>
      </c>
    </row>
    <row r="15" spans="1:24" x14ac:dyDescent="0.2">
      <c r="B15" s="4" t="s">
        <v>47</v>
      </c>
      <c r="M15" s="4">
        <f>367+255</f>
        <v>622</v>
      </c>
      <c r="N15" s="4">
        <f>419+415+287</f>
        <v>1121</v>
      </c>
      <c r="O15" s="4">
        <f>N15*1.3</f>
        <v>1457.3</v>
      </c>
      <c r="P15" s="4">
        <f t="shared" ref="P15:W15" si="20">O15*1.3</f>
        <v>1894.49</v>
      </c>
      <c r="Q15" s="4">
        <f t="shared" si="20"/>
        <v>2462.837</v>
      </c>
      <c r="R15" s="4">
        <f t="shared" si="20"/>
        <v>3201.6881000000003</v>
      </c>
      <c r="S15" s="4">
        <f t="shared" si="20"/>
        <v>4162.1945300000007</v>
      </c>
      <c r="T15" s="4">
        <f t="shared" si="20"/>
        <v>5410.8528890000007</v>
      </c>
      <c r="U15" s="4">
        <f t="shared" si="20"/>
        <v>7034.108755700001</v>
      </c>
      <c r="V15" s="4">
        <f t="shared" si="20"/>
        <v>9144.3413824100007</v>
      </c>
      <c r="W15" s="4">
        <f t="shared" si="20"/>
        <v>11887.643797133001</v>
      </c>
      <c r="X15" s="4">
        <v>15000</v>
      </c>
    </row>
    <row r="16" spans="1:24" x14ac:dyDescent="0.2">
      <c r="B16" s="4" t="s">
        <v>51</v>
      </c>
      <c r="M16" s="4">
        <f>1428+483+201+142</f>
        <v>2254</v>
      </c>
      <c r="N16" s="4">
        <f>964+394+249+163</f>
        <v>1770</v>
      </c>
      <c r="O16" s="4">
        <f>N16*1.01</f>
        <v>1787.7</v>
      </c>
      <c r="P16" s="4">
        <f t="shared" ref="P16:W16" si="21">O16*1.01</f>
        <v>1805.577</v>
      </c>
      <c r="Q16" s="4">
        <f t="shared" si="21"/>
        <v>1823.6327699999999</v>
      </c>
      <c r="R16" s="4">
        <f t="shared" si="21"/>
        <v>1841.8690976999999</v>
      </c>
      <c r="S16" s="4">
        <f t="shared" si="21"/>
        <v>1860.287788677</v>
      </c>
      <c r="T16" s="4">
        <f t="shared" si="21"/>
        <v>1878.8906665637701</v>
      </c>
      <c r="U16" s="4">
        <f t="shared" si="21"/>
        <v>1897.6795732294079</v>
      </c>
      <c r="V16" s="4">
        <f t="shared" si="21"/>
        <v>1916.6563689617019</v>
      </c>
      <c r="W16" s="4">
        <f t="shared" si="21"/>
        <v>1935.822932651319</v>
      </c>
      <c r="X16" s="4">
        <v>2000</v>
      </c>
    </row>
    <row r="17" spans="2:24" x14ac:dyDescent="0.2">
      <c r="B17" s="4" t="s">
        <v>52</v>
      </c>
      <c r="M17" s="4">
        <v>231</v>
      </c>
      <c r="N17" s="4">
        <v>222</v>
      </c>
      <c r="O17" s="4">
        <f>N17*1.05</f>
        <v>233.10000000000002</v>
      </c>
      <c r="P17" s="4">
        <f t="shared" ref="P17:R17" si="22">O17*1.05</f>
        <v>244.75500000000002</v>
      </c>
      <c r="Q17" s="4">
        <f t="shared" si="22"/>
        <v>256.99275000000006</v>
      </c>
      <c r="R17" s="4">
        <f t="shared" si="22"/>
        <v>269.84238750000009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2:24" x14ac:dyDescent="0.2">
      <c r="B18" s="4" t="s">
        <v>53</v>
      </c>
      <c r="M18" s="4">
        <f>710+187</f>
        <v>897</v>
      </c>
      <c r="N18" s="4">
        <f>543+114</f>
        <v>657</v>
      </c>
      <c r="O18" s="4">
        <f>N18*1.23</f>
        <v>808.11</v>
      </c>
      <c r="P18" s="4">
        <f t="shared" ref="P18:W18" si="23">O18*1.23</f>
        <v>993.97529999999995</v>
      </c>
      <c r="Q18" s="4">
        <f t="shared" si="23"/>
        <v>1222.5896189999999</v>
      </c>
      <c r="R18" s="4">
        <f t="shared" si="23"/>
        <v>1503.7852313699998</v>
      </c>
      <c r="S18" s="4">
        <f t="shared" si="23"/>
        <v>1849.6558345850997</v>
      </c>
      <c r="T18" s="4">
        <f t="shared" si="23"/>
        <v>2275.0766765396725</v>
      </c>
      <c r="U18" s="4">
        <f t="shared" si="23"/>
        <v>2798.3443121437972</v>
      </c>
      <c r="V18" s="4">
        <f t="shared" si="23"/>
        <v>3441.9635039368704</v>
      </c>
      <c r="W18" s="4">
        <f t="shared" si="23"/>
        <v>4233.6151098423506</v>
      </c>
      <c r="X18" s="4">
        <v>5000</v>
      </c>
    </row>
    <row r="19" spans="2:24" s="8" customFormat="1" x14ac:dyDescent="0.2">
      <c r="B19" s="8" t="s">
        <v>43</v>
      </c>
      <c r="G19" s="8">
        <v>796</v>
      </c>
      <c r="M19" s="8">
        <v>2189</v>
      </c>
      <c r="N19" s="8">
        <v>1334</v>
      </c>
      <c r="O19" s="8">
        <f>N19*1.09</f>
        <v>1454.0600000000002</v>
      </c>
      <c r="P19" s="8">
        <f t="shared" ref="P19:W19" si="24">O19*1.09</f>
        <v>1584.9254000000003</v>
      </c>
      <c r="Q19" s="8">
        <f t="shared" si="24"/>
        <v>1727.5686860000005</v>
      </c>
      <c r="R19" s="8">
        <f t="shared" si="24"/>
        <v>1883.0498677400008</v>
      </c>
      <c r="S19" s="8">
        <f t="shared" si="24"/>
        <v>2052.524355836601</v>
      </c>
      <c r="T19" s="8">
        <f t="shared" si="24"/>
        <v>2237.2515478618952</v>
      </c>
      <c r="U19" s="8">
        <f t="shared" si="24"/>
        <v>2438.6041871694661</v>
      </c>
      <c r="V19" s="8">
        <f t="shared" si="24"/>
        <v>2658.0785640147183</v>
      </c>
      <c r="W19" s="8">
        <f t="shared" si="24"/>
        <v>2897.305634776043</v>
      </c>
      <c r="X19" s="8">
        <v>3000</v>
      </c>
    </row>
    <row r="20" spans="2:24" x14ac:dyDescent="0.2">
      <c r="B20" s="4" t="s">
        <v>54</v>
      </c>
      <c r="M20" s="4">
        <v>1177</v>
      </c>
      <c r="N20" s="4">
        <v>935</v>
      </c>
      <c r="O20" s="4">
        <f>N20*0.9</f>
        <v>841.5</v>
      </c>
      <c r="P20" s="4">
        <f t="shared" ref="P20:R20" si="25">O20*0.9</f>
        <v>757.35</v>
      </c>
      <c r="Q20" s="4">
        <f t="shared" si="25"/>
        <v>681.61500000000001</v>
      </c>
      <c r="R20" s="4">
        <f t="shared" si="25"/>
        <v>613.45350000000008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  <row r="21" spans="2:24" x14ac:dyDescent="0.2">
      <c r="B21" s="4" t="s">
        <v>55</v>
      </c>
      <c r="M21" s="4">
        <v>2333</v>
      </c>
      <c r="N21" s="4">
        <v>2510</v>
      </c>
      <c r="O21" s="4">
        <f>N21*1.01</f>
        <v>2535.1</v>
      </c>
      <c r="P21" s="4">
        <f t="shared" ref="P21:W21" si="26">O21*1.01</f>
        <v>2560.451</v>
      </c>
      <c r="Q21" s="4">
        <f t="shared" si="26"/>
        <v>2586.0555100000001</v>
      </c>
      <c r="R21" s="4">
        <f t="shared" si="26"/>
        <v>2611.9160651000002</v>
      </c>
      <c r="S21" s="4">
        <f t="shared" si="26"/>
        <v>2638.0352257510003</v>
      </c>
      <c r="T21" s="4">
        <f t="shared" si="26"/>
        <v>2664.4155780085102</v>
      </c>
      <c r="U21" s="4">
        <f t="shared" si="26"/>
        <v>2691.0597337885952</v>
      </c>
      <c r="V21" s="4">
        <f t="shared" si="26"/>
        <v>2717.9703311264811</v>
      </c>
      <c r="W21" s="4">
        <f t="shared" si="26"/>
        <v>2745.1500344377459</v>
      </c>
      <c r="X21" s="4">
        <v>3000</v>
      </c>
    </row>
    <row r="22" spans="2:24" s="8" customFormat="1" x14ac:dyDescent="0.2">
      <c r="B22" s="8" t="s">
        <v>56</v>
      </c>
      <c r="G22" s="8">
        <v>924</v>
      </c>
      <c r="M22" s="8">
        <v>3337</v>
      </c>
      <c r="N22" s="8">
        <v>3462</v>
      </c>
      <c r="O22" s="8">
        <f>N22*1.08</f>
        <v>3738.96</v>
      </c>
      <c r="P22" s="8">
        <f t="shared" ref="P22:V22" si="27">O22*1.08</f>
        <v>4038.0768000000003</v>
      </c>
      <c r="Q22" s="8">
        <f t="shared" si="27"/>
        <v>4361.1229440000006</v>
      </c>
      <c r="R22" s="8">
        <f t="shared" si="27"/>
        <v>4710.0127795200015</v>
      </c>
      <c r="S22" s="8">
        <f t="shared" si="27"/>
        <v>5086.8138018816016</v>
      </c>
      <c r="T22" s="8">
        <f t="shared" si="27"/>
        <v>5493.7589060321297</v>
      </c>
      <c r="U22" s="8">
        <f t="shared" si="27"/>
        <v>5933.2596185147004</v>
      </c>
      <c r="V22" s="8">
        <f t="shared" si="27"/>
        <v>6407.9203879958768</v>
      </c>
      <c r="W22" s="8">
        <f>V22*1.07</f>
        <v>6856.4748151555887</v>
      </c>
      <c r="X22" s="8">
        <f>N22*2</f>
        <v>6924</v>
      </c>
    </row>
    <row r="23" spans="2:24" s="8" customFormat="1" x14ac:dyDescent="0.2">
      <c r="B23" s="8" t="s">
        <v>57</v>
      </c>
      <c r="G23" s="8">
        <v>664</v>
      </c>
      <c r="M23" s="8">
        <v>2288</v>
      </c>
      <c r="N23" s="8">
        <v>2415</v>
      </c>
      <c r="O23" s="8">
        <f>N23*1.07</f>
        <v>2584.0500000000002</v>
      </c>
      <c r="P23" s="8">
        <f t="shared" ref="P23:W23" si="28">O23*1.07</f>
        <v>2764.9335000000005</v>
      </c>
      <c r="Q23" s="8">
        <f t="shared" si="28"/>
        <v>2958.4788450000005</v>
      </c>
      <c r="R23" s="8">
        <f t="shared" si="28"/>
        <v>3165.5723641500008</v>
      </c>
      <c r="S23" s="8">
        <f t="shared" si="28"/>
        <v>3387.1624296405012</v>
      </c>
      <c r="T23" s="8">
        <f t="shared" si="28"/>
        <v>3624.2637997153365</v>
      </c>
      <c r="U23" s="8">
        <f t="shared" si="28"/>
        <v>3877.9622656954102</v>
      </c>
      <c r="V23" s="8">
        <f t="shared" si="28"/>
        <v>4149.4196242940889</v>
      </c>
      <c r="W23" s="8">
        <f t="shared" si="28"/>
        <v>4439.878997994675</v>
      </c>
      <c r="X23" s="8">
        <f>N23*2</f>
        <v>4830</v>
      </c>
    </row>
    <row r="24" spans="2:24" x14ac:dyDescent="0.2">
      <c r="B24" s="4" t="s">
        <v>48</v>
      </c>
      <c r="M24" s="4">
        <v>907</v>
      </c>
      <c r="N24" s="4">
        <v>891</v>
      </c>
      <c r="O24" s="4">
        <f>N24*1.01</f>
        <v>899.91</v>
      </c>
      <c r="P24" s="4">
        <f t="shared" ref="P24:W24" si="29">O24*1.01</f>
        <v>908.90909999999997</v>
      </c>
      <c r="Q24" s="4">
        <f t="shared" si="29"/>
        <v>917.99819100000002</v>
      </c>
      <c r="R24" s="4">
        <f t="shared" si="29"/>
        <v>927.17817291000006</v>
      </c>
      <c r="S24" s="4">
        <f t="shared" si="29"/>
        <v>936.44995463910004</v>
      </c>
      <c r="T24" s="4">
        <f t="shared" si="29"/>
        <v>945.81445418549106</v>
      </c>
      <c r="U24" s="4">
        <f t="shared" si="29"/>
        <v>955.27259872734601</v>
      </c>
      <c r="V24" s="4">
        <f t="shared" si="29"/>
        <v>964.82532471461946</v>
      </c>
      <c r="W24" s="4">
        <f t="shared" si="29"/>
        <v>974.47357796176561</v>
      </c>
      <c r="X24" s="4">
        <v>1000</v>
      </c>
    </row>
    <row r="25" spans="2:24" s="8" customFormat="1" x14ac:dyDescent="0.2">
      <c r="B25" s="4" t="s">
        <v>44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f>1199+960+212+367</f>
        <v>2738</v>
      </c>
      <c r="N25" s="4">
        <f>1311+1010+371+415</f>
        <v>3107</v>
      </c>
      <c r="O25" s="4">
        <f>N25*1.01</f>
        <v>3138.07</v>
      </c>
      <c r="P25" s="4">
        <f t="shared" ref="P25:X25" si="30">O25*1.01</f>
        <v>3169.4507000000003</v>
      </c>
      <c r="Q25" s="4">
        <f t="shared" si="30"/>
        <v>3201.1452070000005</v>
      </c>
      <c r="R25" s="4">
        <f t="shared" si="30"/>
        <v>3233.1566590700004</v>
      </c>
      <c r="S25" s="4">
        <f t="shared" si="30"/>
        <v>3265.4882256607002</v>
      </c>
      <c r="T25" s="4">
        <f t="shared" si="30"/>
        <v>3298.1431079173071</v>
      </c>
      <c r="U25" s="4">
        <f t="shared" si="30"/>
        <v>3331.1245389964802</v>
      </c>
      <c r="V25" s="4">
        <f t="shared" si="30"/>
        <v>3364.435784386445</v>
      </c>
      <c r="W25" s="4">
        <f t="shared" si="30"/>
        <v>3398.0801422303093</v>
      </c>
      <c r="X25" s="4">
        <f t="shared" si="30"/>
        <v>3432.0609436526124</v>
      </c>
    </row>
    <row r="26" spans="2:24" s="8" customFormat="1" x14ac:dyDescent="0.2">
      <c r="B26" s="8" t="s">
        <v>7</v>
      </c>
      <c r="C26" s="8">
        <v>15775</v>
      </c>
      <c r="G26" s="8">
        <v>15529</v>
      </c>
      <c r="H26" s="8">
        <f>G26*1.03</f>
        <v>15994.87</v>
      </c>
      <c r="I26" s="8">
        <f t="shared" ref="I26:J26" si="31">H26*1.03</f>
        <v>16474.716100000001</v>
      </c>
      <c r="J26" s="8">
        <f t="shared" si="31"/>
        <v>16968.957583000003</v>
      </c>
      <c r="L26" s="8">
        <v>59283</v>
      </c>
      <c r="M26" s="8">
        <f t="shared" ref="M26:X26" si="32">SUM(M9:M24)</f>
        <v>60115</v>
      </c>
      <c r="N26" s="8">
        <f t="shared" si="32"/>
        <v>64168</v>
      </c>
      <c r="O26" s="8">
        <f t="shared" si="32"/>
        <v>68895.5</v>
      </c>
      <c r="P26" s="8">
        <f t="shared" si="32"/>
        <v>74134.27399999999</v>
      </c>
      <c r="Q26" s="8">
        <f t="shared" si="32"/>
        <v>79953.657416000031</v>
      </c>
      <c r="R26" s="8">
        <f t="shared" si="32"/>
        <v>85759.744780720008</v>
      </c>
      <c r="S26" s="8">
        <f t="shared" si="32"/>
        <v>57883.888968686813</v>
      </c>
      <c r="T26" s="8">
        <f t="shared" si="32"/>
        <v>59839.159046499954</v>
      </c>
      <c r="U26" s="8">
        <f t="shared" si="32"/>
        <v>63698.482401424873</v>
      </c>
      <c r="V26" s="8">
        <f t="shared" si="32"/>
        <v>68723.877547260839</v>
      </c>
      <c r="W26" s="8">
        <f t="shared" si="32"/>
        <v>74592.676987676503</v>
      </c>
      <c r="X26" s="8">
        <f t="shared" si="32"/>
        <v>80574.597133178235</v>
      </c>
    </row>
    <row r="27" spans="2:24" x14ac:dyDescent="0.2">
      <c r="B27" s="4" t="s">
        <v>6</v>
      </c>
      <c r="C27" s="4">
        <v>3540</v>
      </c>
      <c r="G27" s="4">
        <v>3419</v>
      </c>
      <c r="H27" s="4">
        <f>G27*(1+H41)</f>
        <v>3521.57</v>
      </c>
      <c r="I27" s="4">
        <f t="shared" ref="I27:J27" si="33">H27*(1+I41)</f>
        <v>3627.2171000000003</v>
      </c>
      <c r="J27" s="4">
        <f t="shared" si="33"/>
        <v>3736.0336130000005</v>
      </c>
      <c r="L27" s="4">
        <v>17411</v>
      </c>
      <c r="M27" s="4">
        <v>16126</v>
      </c>
      <c r="N27" s="4">
        <v>15193</v>
      </c>
      <c r="O27" s="4">
        <f>SUM(G27:J27)</f>
        <v>14303.820713000001</v>
      </c>
      <c r="P27" s="4">
        <f>O27*(1+P40)</f>
        <v>15391.474972740127</v>
      </c>
      <c r="Q27" s="4">
        <f t="shared" ref="Q27:S27" si="34">P27*(1+Q40)</f>
        <v>16599.673143051252</v>
      </c>
      <c r="R27" s="4">
        <f t="shared" si="34"/>
        <v>17805.110837951052</v>
      </c>
      <c r="S27" s="4">
        <f t="shared" si="34"/>
        <v>12017.63206565443</v>
      </c>
      <c r="T27" s="4">
        <f t="shared" ref="T27" si="35">S27*(1+T40)</f>
        <v>12423.577775294869</v>
      </c>
      <c r="U27" s="4">
        <f t="shared" ref="U27" si="36">T27*(1+U40)</f>
        <v>13224.835757925663</v>
      </c>
      <c r="V27" s="4">
        <f t="shared" ref="V27" si="37">U27*(1+V40)</f>
        <v>14268.189114502189</v>
      </c>
      <c r="W27" s="4">
        <f t="shared" ref="W27" si="38">V27*(1+W40)</f>
        <v>15486.646851165113</v>
      </c>
      <c r="X27" s="4">
        <f t="shared" ref="X27" si="39">W27*(1+X40)</f>
        <v>16728.590276798714</v>
      </c>
    </row>
    <row r="28" spans="2:24" x14ac:dyDescent="0.2">
      <c r="B28" s="4" t="s">
        <v>8</v>
      </c>
      <c r="C28" s="4">
        <f>C26-C27</f>
        <v>12235</v>
      </c>
      <c r="D28" s="4">
        <f t="shared" ref="D28:F28" si="40">D26-D27</f>
        <v>0</v>
      </c>
      <c r="E28" s="4">
        <f t="shared" si="40"/>
        <v>0</v>
      </c>
      <c r="F28" s="4">
        <f t="shared" si="40"/>
        <v>0</v>
      </c>
      <c r="G28" s="4">
        <f>G26-G27</f>
        <v>12110</v>
      </c>
      <c r="H28" s="4">
        <f>H26-H27</f>
        <v>12473.300000000001</v>
      </c>
      <c r="I28" s="4">
        <f t="shared" ref="I28:J28" si="41">I26-I27</f>
        <v>12847.499000000002</v>
      </c>
      <c r="J28" s="4">
        <f t="shared" si="41"/>
        <v>13232.923970000003</v>
      </c>
      <c r="L28" s="4">
        <f>L26-L27</f>
        <v>41872</v>
      </c>
      <c r="M28" s="4">
        <f t="shared" ref="M28:S28" si="42">M26-M27</f>
        <v>43989</v>
      </c>
      <c r="N28" s="4">
        <f t="shared" si="42"/>
        <v>48975</v>
      </c>
      <c r="O28" s="4">
        <f t="shared" si="42"/>
        <v>54591.679286999999</v>
      </c>
      <c r="P28" s="4">
        <f t="shared" si="42"/>
        <v>58742.799027259862</v>
      </c>
      <c r="Q28" s="4">
        <f t="shared" si="42"/>
        <v>63353.984272948779</v>
      </c>
      <c r="R28" s="4">
        <f t="shared" si="42"/>
        <v>67954.633942768953</v>
      </c>
      <c r="S28" s="4">
        <f t="shared" si="42"/>
        <v>45866.256903032379</v>
      </c>
      <c r="T28" s="4">
        <f t="shared" ref="T28:X28" si="43">T26-T27</f>
        <v>47415.581271205083</v>
      </c>
      <c r="U28" s="4">
        <f t="shared" si="43"/>
        <v>50473.646643499211</v>
      </c>
      <c r="V28" s="4">
        <f t="shared" si="43"/>
        <v>54455.688432758652</v>
      </c>
      <c r="W28" s="4">
        <f t="shared" si="43"/>
        <v>59106.030136511392</v>
      </c>
      <c r="X28" s="4">
        <f t="shared" si="43"/>
        <v>63846.006856379521</v>
      </c>
    </row>
    <row r="29" spans="2:24" x14ac:dyDescent="0.2">
      <c r="B29" s="4" t="s">
        <v>9</v>
      </c>
      <c r="C29" s="4">
        <v>2483</v>
      </c>
      <c r="G29" s="4">
        <v>2552</v>
      </c>
      <c r="H29" s="4">
        <f>G29*(1+H41)</f>
        <v>2628.56</v>
      </c>
      <c r="I29" s="4">
        <f t="shared" ref="I29:J29" si="44">H29*(1+I41)</f>
        <v>2707.4168</v>
      </c>
      <c r="J29" s="4">
        <f t="shared" si="44"/>
        <v>2788.6393039999998</v>
      </c>
      <c r="L29" s="4">
        <v>10042</v>
      </c>
      <c r="M29" s="4">
        <v>10504</v>
      </c>
      <c r="N29" s="4">
        <v>10816</v>
      </c>
      <c r="O29" s="4">
        <f>SUM(G29:J29)</f>
        <v>10676.616103999999</v>
      </c>
      <c r="P29" s="4">
        <f>O29*(1+P40)</f>
        <v>11488.459821711844</v>
      </c>
      <c r="Q29" s="4">
        <f t="shared" ref="Q29:S29" si="45">P29*(1+Q40)</f>
        <v>12390.279573286569</v>
      </c>
      <c r="R29" s="4">
        <f t="shared" si="45"/>
        <v>13290.038858862552</v>
      </c>
      <c r="S29" s="4">
        <f t="shared" si="45"/>
        <v>8970.1658471921892</v>
      </c>
      <c r="T29" s="4">
        <f t="shared" ref="T29" si="46">S29*(1+T40)</f>
        <v>9273.170658833722</v>
      </c>
      <c r="U29" s="4">
        <f t="shared" ref="U29" si="47">T29*(1+U40)</f>
        <v>9871.2433033712423</v>
      </c>
      <c r="V29" s="4">
        <f t="shared" ref="V29" si="48">U29*(1+V40)</f>
        <v>10650.02007025726</v>
      </c>
      <c r="W29" s="4">
        <f t="shared" ref="W29" si="49">V29*(1+W40)</f>
        <v>11559.497737400805</v>
      </c>
      <c r="X29" s="4">
        <f t="shared" ref="X29" si="50">W29*(1+X40)</f>
        <v>12486.505523951535</v>
      </c>
    </row>
    <row r="30" spans="2:24" x14ac:dyDescent="0.2">
      <c r="B30" s="4" t="s">
        <v>10</v>
      </c>
      <c r="C30" s="4">
        <v>3992</v>
      </c>
      <c r="G30" s="4">
        <v>3621</v>
      </c>
      <c r="H30" s="4">
        <f>G30*(1+H41)</f>
        <v>3729.63</v>
      </c>
      <c r="I30" s="4">
        <f t="shared" ref="I30:J30" si="51">H30*(1+I41)</f>
        <v>3841.5189</v>
      </c>
      <c r="J30" s="4">
        <f t="shared" si="51"/>
        <v>3956.764467</v>
      </c>
      <c r="L30" s="4">
        <v>13548</v>
      </c>
      <c r="M30" s="4">
        <v>30531</v>
      </c>
      <c r="N30" s="4">
        <v>17938</v>
      </c>
      <c r="O30" s="4">
        <f>SUM(G30:J30)</f>
        <v>15148.913367000001</v>
      </c>
      <c r="P30" s="4">
        <f>O30*(1+P40)</f>
        <v>16300.827983706346</v>
      </c>
      <c r="Q30" s="4">
        <f t="shared" ref="Q30:S30" si="52">P30*(1+Q40)</f>
        <v>17580.408438428949</v>
      </c>
      <c r="R30" s="4">
        <f t="shared" si="52"/>
        <v>18857.065324428415</v>
      </c>
      <c r="S30" s="4">
        <f t="shared" si="52"/>
        <v>12727.653030048168</v>
      </c>
      <c r="T30" s="4">
        <f t="shared" ref="T30" si="53">S30*(1+T40)</f>
        <v>13157.582662867129</v>
      </c>
      <c r="U30" s="4">
        <f t="shared" ref="U30" si="54">T30*(1+U40)</f>
        <v>14006.180251374324</v>
      </c>
      <c r="V30" s="4">
        <f t="shared" ref="V30" si="55">U30*(1+V40)</f>
        <v>15111.17659655233</v>
      </c>
      <c r="W30" s="4">
        <f t="shared" ref="W30" si="56">V30*(1+W40)</f>
        <v>16401.622769250909</v>
      </c>
      <c r="X30" s="4">
        <f t="shared" ref="X30" si="57">W30*(1+X40)</f>
        <v>17716.9422030676</v>
      </c>
    </row>
    <row r="31" spans="2:24" x14ac:dyDescent="0.2">
      <c r="B31" s="4" t="s">
        <v>11</v>
      </c>
      <c r="C31" s="4">
        <f>SUM(C29:C30)</f>
        <v>6475</v>
      </c>
      <c r="D31" s="4">
        <f t="shared" ref="D31:F31" si="58">SUM(D29:D30)</f>
        <v>0</v>
      </c>
      <c r="E31" s="4">
        <f t="shared" si="58"/>
        <v>0</v>
      </c>
      <c r="F31" s="4">
        <f t="shared" si="58"/>
        <v>0</v>
      </c>
      <c r="G31" s="4">
        <f>SUM(G29:G30)</f>
        <v>6173</v>
      </c>
      <c r="H31" s="4">
        <f>SUM(H29:H30)</f>
        <v>6358.1900000000005</v>
      </c>
      <c r="I31" s="4">
        <f t="shared" ref="I31:J31" si="59">SUM(I29:I30)</f>
        <v>6548.9357</v>
      </c>
      <c r="J31" s="4">
        <f t="shared" si="59"/>
        <v>6745.4037709999993</v>
      </c>
      <c r="L31" s="4">
        <f>SUM(L29:L30)</f>
        <v>23590</v>
      </c>
      <c r="M31" s="4">
        <f t="shared" ref="M31:S31" si="60">SUM(M29:M30)</f>
        <v>41035</v>
      </c>
      <c r="N31" s="4">
        <f t="shared" si="60"/>
        <v>28754</v>
      </c>
      <c r="O31" s="4">
        <f t="shared" si="60"/>
        <v>25825.529471000002</v>
      </c>
      <c r="P31" s="4">
        <f t="shared" si="60"/>
        <v>27789.287805418189</v>
      </c>
      <c r="Q31" s="4">
        <f t="shared" si="60"/>
        <v>29970.688011715516</v>
      </c>
      <c r="R31" s="4">
        <f t="shared" si="60"/>
        <v>32147.104183290969</v>
      </c>
      <c r="S31" s="4">
        <f t="shared" si="60"/>
        <v>21697.818877240359</v>
      </c>
      <c r="T31" s="4">
        <f t="shared" ref="T31:X31" si="61">SUM(T29:T30)</f>
        <v>22430.753321700853</v>
      </c>
      <c r="U31" s="4">
        <f t="shared" si="61"/>
        <v>23877.423554745568</v>
      </c>
      <c r="V31" s="4">
        <f t="shared" si="61"/>
        <v>25761.196666809592</v>
      </c>
      <c r="W31" s="4">
        <f t="shared" si="61"/>
        <v>27961.120506651714</v>
      </c>
      <c r="X31" s="4">
        <f t="shared" si="61"/>
        <v>30203.447727019135</v>
      </c>
    </row>
    <row r="32" spans="2:24" s="8" customFormat="1" x14ac:dyDescent="0.2">
      <c r="B32" s="8" t="s">
        <v>12</v>
      </c>
      <c r="C32" s="8">
        <f>C28-C31</f>
        <v>5760</v>
      </c>
      <c r="D32" s="8">
        <f t="shared" ref="D32:F32" si="62">D28-D31</f>
        <v>0</v>
      </c>
      <c r="E32" s="8">
        <f t="shared" si="62"/>
        <v>0</v>
      </c>
      <c r="F32" s="8">
        <f t="shared" si="62"/>
        <v>0</v>
      </c>
      <c r="G32" s="8">
        <f>G28-G31</f>
        <v>5937</v>
      </c>
      <c r="H32" s="8">
        <f>H28-H31</f>
        <v>6115.1100000000006</v>
      </c>
      <c r="I32" s="8">
        <f t="shared" ref="I32:J32" si="63">I28-I31</f>
        <v>6298.5633000000016</v>
      </c>
      <c r="J32" s="8">
        <f t="shared" si="63"/>
        <v>6487.5201990000041</v>
      </c>
      <c r="L32" s="8">
        <f>L28-L31</f>
        <v>18282</v>
      </c>
      <c r="M32" s="8">
        <f t="shared" ref="M32:S32" si="64">M28-M31</f>
        <v>2954</v>
      </c>
      <c r="N32" s="8">
        <f t="shared" si="64"/>
        <v>20221</v>
      </c>
      <c r="O32" s="8">
        <f t="shared" si="64"/>
        <v>28766.149815999997</v>
      </c>
      <c r="P32" s="8">
        <f t="shared" si="64"/>
        <v>30953.511221841673</v>
      </c>
      <c r="Q32" s="8">
        <f t="shared" si="64"/>
        <v>33383.296261233263</v>
      </c>
      <c r="R32" s="8">
        <f t="shared" si="64"/>
        <v>35807.529759477984</v>
      </c>
      <c r="S32" s="8">
        <f t="shared" si="64"/>
        <v>24168.43802579202</v>
      </c>
      <c r="T32" s="8">
        <f t="shared" ref="T32:X32" si="65">T28-T31</f>
        <v>24984.82794950423</v>
      </c>
      <c r="U32" s="8">
        <f t="shared" si="65"/>
        <v>26596.223088753643</v>
      </c>
      <c r="V32" s="8">
        <f t="shared" si="65"/>
        <v>28694.49176594906</v>
      </c>
      <c r="W32" s="8">
        <f t="shared" si="65"/>
        <v>31144.909629859678</v>
      </c>
      <c r="X32" s="8">
        <f t="shared" si="65"/>
        <v>33642.559129360387</v>
      </c>
    </row>
    <row r="33" spans="2:117" x14ac:dyDescent="0.2">
      <c r="B33" s="4" t="s">
        <v>13</v>
      </c>
      <c r="C33" s="4">
        <v>-33</v>
      </c>
      <c r="G33" s="4">
        <v>-35</v>
      </c>
      <c r="H33" s="4">
        <f>G54*$AA$103/4</f>
        <v>-161.6</v>
      </c>
      <c r="I33" s="4">
        <f>H54*$AA$103/4</f>
        <v>-136.74409574999999</v>
      </c>
      <c r="J33" s="4">
        <f>I54*$AA$103/4</f>
        <v>-111.01850057225624</v>
      </c>
      <c r="O33" s="4">
        <f>SUM(G33:J33)</f>
        <v>-444.36259632225619</v>
      </c>
      <c r="P33" s="4">
        <f t="shared" ref="P33:X33" si="66">O54*$AA$103</f>
        <v>-337.58642392528157</v>
      </c>
      <c r="Q33" s="4">
        <f t="shared" si="66"/>
        <v>173.6995201999222</v>
      </c>
      <c r="R33" s="4">
        <f t="shared" si="66"/>
        <v>703.9000535465666</v>
      </c>
      <c r="S33" s="4">
        <f t="shared" si="66"/>
        <v>1280.7806445923545</v>
      </c>
      <c r="T33" s="4">
        <f t="shared" si="66"/>
        <v>1682.8782995844279</v>
      </c>
      <c r="U33" s="4">
        <f t="shared" si="66"/>
        <v>2104.2280583200286</v>
      </c>
      <c r="V33" s="4">
        <f t="shared" si="66"/>
        <v>2557.6951864437924</v>
      </c>
      <c r="W33" s="4">
        <f t="shared" si="66"/>
        <v>3051.4797402916001</v>
      </c>
      <c r="X33" s="4">
        <f t="shared" si="66"/>
        <v>3591.7826923399903</v>
      </c>
    </row>
    <row r="34" spans="2:117" x14ac:dyDescent="0.2">
      <c r="B34" s="4" t="s">
        <v>14</v>
      </c>
      <c r="C34" s="4">
        <f>C32+C33</f>
        <v>5727</v>
      </c>
      <c r="D34" s="4">
        <f t="shared" ref="D34:F34" si="67">D32+D33</f>
        <v>0</v>
      </c>
      <c r="E34" s="4">
        <f t="shared" si="67"/>
        <v>0</v>
      </c>
      <c r="F34" s="4">
        <f t="shared" si="67"/>
        <v>0</v>
      </c>
      <c r="G34" s="4">
        <f>G32+G33</f>
        <v>5902</v>
      </c>
      <c r="H34" s="4">
        <f>H32+H33</f>
        <v>5953.51</v>
      </c>
      <c r="I34" s="4">
        <f t="shared" ref="I34:J34" si="68">I32+I33</f>
        <v>6161.8192042500013</v>
      </c>
      <c r="J34" s="4">
        <f t="shared" si="68"/>
        <v>6376.5016984277481</v>
      </c>
      <c r="L34" s="4">
        <f>L32+L33</f>
        <v>18282</v>
      </c>
      <c r="M34" s="4">
        <f t="shared" ref="M34:S34" si="69">M32+M33</f>
        <v>2954</v>
      </c>
      <c r="N34" s="4">
        <f t="shared" si="69"/>
        <v>20221</v>
      </c>
      <c r="O34" s="4">
        <f t="shared" si="69"/>
        <v>28321.787219677743</v>
      </c>
      <c r="P34" s="4">
        <f t="shared" si="69"/>
        <v>30615.924797916392</v>
      </c>
      <c r="Q34" s="4">
        <f t="shared" si="69"/>
        <v>33556.995781433186</v>
      </c>
      <c r="R34" s="4">
        <f t="shared" si="69"/>
        <v>36511.429813024552</v>
      </c>
      <c r="S34" s="4">
        <f t="shared" si="69"/>
        <v>25449.218670384376</v>
      </c>
      <c r="T34" s="4">
        <f t="shared" ref="T34:X34" si="70">T32+T33</f>
        <v>26667.706249088656</v>
      </c>
      <c r="U34" s="4">
        <f t="shared" si="70"/>
        <v>28700.451147073672</v>
      </c>
      <c r="V34" s="4">
        <f t="shared" si="70"/>
        <v>31252.186952392854</v>
      </c>
      <c r="W34" s="4">
        <f t="shared" si="70"/>
        <v>34196.389370151279</v>
      </c>
      <c r="X34" s="4">
        <f t="shared" si="70"/>
        <v>37234.341821700378</v>
      </c>
    </row>
    <row r="35" spans="2:117" x14ac:dyDescent="0.2">
      <c r="B35" s="4" t="s">
        <v>15</v>
      </c>
      <c r="C35" s="4">
        <v>903</v>
      </c>
      <c r="G35" s="4">
        <v>818</v>
      </c>
      <c r="H35" s="4">
        <f>H34*H42</f>
        <v>982.32915000000003</v>
      </c>
      <c r="I35" s="4">
        <f t="shared" ref="I35:J35" si="71">I34*I42</f>
        <v>1016.7001687012503</v>
      </c>
      <c r="J35" s="4">
        <f t="shared" si="71"/>
        <v>1052.1227802405785</v>
      </c>
      <c r="L35" s="4">
        <v>1918</v>
      </c>
      <c r="M35" s="4">
        <v>1512</v>
      </c>
      <c r="N35" s="4">
        <v>2803</v>
      </c>
      <c r="O35" s="4">
        <f>SUM(G35:J35)</f>
        <v>3869.1520989418286</v>
      </c>
      <c r="P35" s="4">
        <f>P34*P42</f>
        <v>5051.6275916562054</v>
      </c>
      <c r="Q35" s="4">
        <f t="shared" ref="Q35:S35" si="72">Q34*Q42</f>
        <v>7046.9691141009689</v>
      </c>
      <c r="R35" s="4">
        <f t="shared" si="72"/>
        <v>7667.4002607351558</v>
      </c>
      <c r="S35" s="4">
        <f t="shared" si="72"/>
        <v>5344.3359207807189</v>
      </c>
      <c r="T35" s="4">
        <f t="shared" ref="T35:X35" si="73">T34*T42</f>
        <v>5600.2183123086179</v>
      </c>
      <c r="U35" s="4">
        <f t="shared" si="73"/>
        <v>6027.0947408854709</v>
      </c>
      <c r="V35" s="4">
        <f t="shared" si="73"/>
        <v>6562.9592600024989</v>
      </c>
      <c r="W35" s="4">
        <f t="shared" si="73"/>
        <v>7181.241767731768</v>
      </c>
      <c r="X35" s="4">
        <f t="shared" si="73"/>
        <v>7819.2117825570795</v>
      </c>
    </row>
    <row r="36" spans="2:117" s="8" customFormat="1" x14ac:dyDescent="0.2">
      <c r="B36" s="8" t="s">
        <v>16</v>
      </c>
      <c r="C36" s="8">
        <f>C34-C35</f>
        <v>4824</v>
      </c>
      <c r="D36" s="8">
        <f t="shared" ref="D36:F36" si="74">D34-D35</f>
        <v>0</v>
      </c>
      <c r="E36" s="8">
        <f t="shared" si="74"/>
        <v>0</v>
      </c>
      <c r="F36" s="8">
        <f t="shared" si="74"/>
        <v>0</v>
      </c>
      <c r="G36" s="8">
        <f>G34-G35</f>
        <v>5084</v>
      </c>
      <c r="H36" s="8">
        <f>H34-H35</f>
        <v>4971.1808500000006</v>
      </c>
      <c r="I36" s="8">
        <f t="shared" ref="I36:J36" si="75">I34-I35</f>
        <v>5145.1190355487506</v>
      </c>
      <c r="J36" s="8">
        <f t="shared" si="75"/>
        <v>5324.3789181871698</v>
      </c>
      <c r="L36" s="8">
        <f>L34-L35</f>
        <v>16364</v>
      </c>
      <c r="M36" s="8">
        <f t="shared" ref="M36:S36" si="76">M34-M35</f>
        <v>1442</v>
      </c>
      <c r="N36" s="8">
        <f t="shared" si="76"/>
        <v>17418</v>
      </c>
      <c r="O36" s="8">
        <f t="shared" si="76"/>
        <v>24452.635120735915</v>
      </c>
      <c r="P36" s="8">
        <f t="shared" si="76"/>
        <v>25564.297206260188</v>
      </c>
      <c r="Q36" s="8">
        <f t="shared" si="76"/>
        <v>26510.026667332218</v>
      </c>
      <c r="R36" s="8">
        <f t="shared" si="76"/>
        <v>28844.029552289394</v>
      </c>
      <c r="S36" s="8">
        <f t="shared" si="76"/>
        <v>20104.882749603657</v>
      </c>
      <c r="T36" s="8">
        <f t="shared" ref="T36:X36" si="77">T34-T35</f>
        <v>21067.487936780039</v>
      </c>
      <c r="U36" s="8">
        <f t="shared" si="77"/>
        <v>22673.356406188203</v>
      </c>
      <c r="V36" s="8">
        <f t="shared" si="77"/>
        <v>24689.227692390356</v>
      </c>
      <c r="W36" s="8">
        <f t="shared" si="77"/>
        <v>27015.147602419511</v>
      </c>
      <c r="X36" s="8">
        <f t="shared" si="77"/>
        <v>29415.1300391433</v>
      </c>
      <c r="Y36" s="8">
        <f t="shared" ref="Y36:BD36" si="78">X36*(1+$AA$104)</f>
        <v>29120.978738751866</v>
      </c>
      <c r="Z36" s="8">
        <f t="shared" si="78"/>
        <v>28829.768951364349</v>
      </c>
      <c r="AA36" s="8">
        <f t="shared" si="78"/>
        <v>28541.471261850704</v>
      </c>
      <c r="AB36" s="8">
        <f t="shared" si="78"/>
        <v>28256.056549232195</v>
      </c>
      <c r="AC36" s="8">
        <f t="shared" si="78"/>
        <v>27973.495983739871</v>
      </c>
      <c r="AD36" s="8">
        <f t="shared" si="78"/>
        <v>27693.761023902473</v>
      </c>
      <c r="AE36" s="8">
        <f t="shared" si="78"/>
        <v>27416.823413663449</v>
      </c>
      <c r="AF36" s="8">
        <f t="shared" si="78"/>
        <v>27142.655179526813</v>
      </c>
      <c r="AG36" s="8">
        <f t="shared" si="78"/>
        <v>26871.228627731543</v>
      </c>
      <c r="AH36" s="8">
        <f t="shared" si="78"/>
        <v>26602.516341454229</v>
      </c>
      <c r="AI36" s="8">
        <f t="shared" si="78"/>
        <v>26336.491178039687</v>
      </c>
      <c r="AJ36" s="8">
        <f t="shared" si="78"/>
        <v>26073.126266259289</v>
      </c>
      <c r="AK36" s="8">
        <f t="shared" si="78"/>
        <v>25812.395003596695</v>
      </c>
      <c r="AL36" s="8">
        <f t="shared" si="78"/>
        <v>25554.271053560729</v>
      </c>
      <c r="AM36" s="8">
        <f t="shared" si="78"/>
        <v>25298.728343025123</v>
      </c>
      <c r="AN36" s="8">
        <f t="shared" si="78"/>
        <v>25045.741059594871</v>
      </c>
      <c r="AO36" s="8">
        <f t="shared" si="78"/>
        <v>24795.283648998924</v>
      </c>
      <c r="AP36" s="8">
        <f t="shared" si="78"/>
        <v>24547.330812508935</v>
      </c>
      <c r="AQ36" s="8">
        <f t="shared" si="78"/>
        <v>24301.857504383846</v>
      </c>
      <c r="AR36" s="8">
        <f t="shared" si="78"/>
        <v>24058.838929340007</v>
      </c>
      <c r="AS36" s="8">
        <f t="shared" si="78"/>
        <v>23818.250540046607</v>
      </c>
      <c r="AT36" s="8">
        <f t="shared" si="78"/>
        <v>23580.068034646141</v>
      </c>
      <c r="AU36" s="8">
        <f t="shared" si="78"/>
        <v>23344.267354299678</v>
      </c>
      <c r="AV36" s="8">
        <f t="shared" si="78"/>
        <v>23110.824680756683</v>
      </c>
      <c r="AW36" s="8">
        <f t="shared" si="78"/>
        <v>22879.716433949117</v>
      </c>
      <c r="AX36" s="8">
        <f t="shared" si="78"/>
        <v>22650.919269609625</v>
      </c>
      <c r="AY36" s="8">
        <f t="shared" si="78"/>
        <v>22424.410076913529</v>
      </c>
      <c r="AZ36" s="8">
        <f t="shared" si="78"/>
        <v>22200.165976144395</v>
      </c>
      <c r="BA36" s="8">
        <f t="shared" si="78"/>
        <v>21978.16431638295</v>
      </c>
      <c r="BB36" s="8">
        <f t="shared" si="78"/>
        <v>21758.382673219119</v>
      </c>
      <c r="BC36" s="8">
        <f t="shared" si="78"/>
        <v>21540.798846486927</v>
      </c>
      <c r="BD36" s="8">
        <f t="shared" si="78"/>
        <v>21325.390858022056</v>
      </c>
      <c r="BE36" s="8">
        <f t="shared" ref="BE36:CJ36" si="79">BD36*(1+$AA$104)</f>
        <v>21112.136949441836</v>
      </c>
      <c r="BF36" s="8">
        <f t="shared" si="79"/>
        <v>20901.015579947416</v>
      </c>
      <c r="BG36" s="8">
        <f t="shared" si="79"/>
        <v>20692.005424147941</v>
      </c>
      <c r="BH36" s="8">
        <f t="shared" si="79"/>
        <v>20485.085369906461</v>
      </c>
      <c r="BI36" s="8">
        <f t="shared" si="79"/>
        <v>20280.234516207398</v>
      </c>
      <c r="BJ36" s="8">
        <f t="shared" si="79"/>
        <v>20077.432171045322</v>
      </c>
      <c r="BK36" s="8">
        <f t="shared" si="79"/>
        <v>19876.657849334868</v>
      </c>
      <c r="BL36" s="8">
        <f t="shared" si="79"/>
        <v>19677.891270841519</v>
      </c>
      <c r="BM36" s="8">
        <f t="shared" si="79"/>
        <v>19481.112358133105</v>
      </c>
      <c r="BN36" s="8">
        <f t="shared" si="79"/>
        <v>19286.301234551775</v>
      </c>
      <c r="BO36" s="8">
        <f t="shared" si="79"/>
        <v>19093.438222206256</v>
      </c>
      <c r="BP36" s="8">
        <f t="shared" si="79"/>
        <v>18902.503839984194</v>
      </c>
      <c r="BQ36" s="8">
        <f t="shared" si="79"/>
        <v>18713.478801584351</v>
      </c>
      <c r="BR36" s="8">
        <f t="shared" si="79"/>
        <v>18526.344013568509</v>
      </c>
      <c r="BS36" s="8">
        <f t="shared" si="79"/>
        <v>18341.080573432824</v>
      </c>
      <c r="BT36" s="8">
        <f t="shared" si="79"/>
        <v>18157.669767698495</v>
      </c>
      <c r="BU36" s="8">
        <f t="shared" si="79"/>
        <v>17976.09307002151</v>
      </c>
      <c r="BV36" s="8">
        <f t="shared" si="79"/>
        <v>17796.332139321294</v>
      </c>
      <c r="BW36" s="8">
        <f t="shared" si="79"/>
        <v>17618.36881792808</v>
      </c>
      <c r="BX36" s="8">
        <f t="shared" si="79"/>
        <v>17442.185129748799</v>
      </c>
      <c r="BY36" s="8">
        <f t="shared" si="79"/>
        <v>17267.763278451312</v>
      </c>
      <c r="BZ36" s="8">
        <f t="shared" si="79"/>
        <v>17095.085645666797</v>
      </c>
      <c r="CA36" s="8">
        <f t="shared" si="79"/>
        <v>16924.134789210129</v>
      </c>
      <c r="CB36" s="8">
        <f t="shared" si="79"/>
        <v>16754.893441318029</v>
      </c>
      <c r="CC36" s="8">
        <f t="shared" si="79"/>
        <v>16587.344506904847</v>
      </c>
      <c r="CD36" s="8">
        <f t="shared" si="79"/>
        <v>16421.471061835797</v>
      </c>
      <c r="CE36" s="8">
        <f t="shared" si="79"/>
        <v>16257.256351217438</v>
      </c>
      <c r="CF36" s="8">
        <f t="shared" si="79"/>
        <v>16094.683787705264</v>
      </c>
      <c r="CG36" s="8">
        <f t="shared" si="79"/>
        <v>15933.736949828211</v>
      </c>
      <c r="CH36" s="8">
        <f t="shared" si="79"/>
        <v>15774.399580329929</v>
      </c>
      <c r="CI36" s="8">
        <f t="shared" si="79"/>
        <v>15616.65558452663</v>
      </c>
      <c r="CJ36" s="8">
        <f t="shared" si="79"/>
        <v>15460.489028681364</v>
      </c>
      <c r="CK36" s="8">
        <f t="shared" ref="CK36:DM36" si="80">CJ36*(1+$AA$104)</f>
        <v>15305.884138394551</v>
      </c>
      <c r="CL36" s="8">
        <f t="shared" si="80"/>
        <v>15152.825297010606</v>
      </c>
      <c r="CM36" s="8">
        <f t="shared" si="80"/>
        <v>15001.297044040501</v>
      </c>
      <c r="CN36" s="8">
        <f t="shared" si="80"/>
        <v>14851.284073600096</v>
      </c>
      <c r="CO36" s="8">
        <f t="shared" si="80"/>
        <v>14702.771232864096</v>
      </c>
      <c r="CP36" s="8">
        <f t="shared" si="80"/>
        <v>14555.743520535454</v>
      </c>
      <c r="CQ36" s="8">
        <f t="shared" si="80"/>
        <v>14410.186085330099</v>
      </c>
      <c r="CR36" s="8">
        <f t="shared" si="80"/>
        <v>14266.084224476797</v>
      </c>
      <c r="CS36" s="8">
        <f t="shared" si="80"/>
        <v>14123.423382232029</v>
      </c>
      <c r="CT36" s="8">
        <f t="shared" si="80"/>
        <v>13982.189148409709</v>
      </c>
      <c r="CU36" s="8">
        <f t="shared" si="80"/>
        <v>13842.367256925612</v>
      </c>
      <c r="CV36" s="8">
        <f t="shared" si="80"/>
        <v>13703.943584356357</v>
      </c>
      <c r="CW36" s="8">
        <f t="shared" si="80"/>
        <v>13566.904148512793</v>
      </c>
      <c r="CX36" s="8">
        <f t="shared" si="80"/>
        <v>13431.235107027665</v>
      </c>
      <c r="CY36" s="8">
        <f t="shared" si="80"/>
        <v>13296.922755957388</v>
      </c>
      <c r="CZ36" s="8">
        <f t="shared" si="80"/>
        <v>13163.953528397815</v>
      </c>
      <c r="DA36" s="8">
        <f t="shared" si="80"/>
        <v>13032.313993113836</v>
      </c>
      <c r="DB36" s="8">
        <f t="shared" si="80"/>
        <v>12901.990853182697</v>
      </c>
      <c r="DC36" s="8">
        <f t="shared" si="80"/>
        <v>12772.97094465087</v>
      </c>
      <c r="DD36" s="8">
        <f t="shared" si="80"/>
        <v>12645.241235204361</v>
      </c>
      <c r="DE36" s="8">
        <f t="shared" si="80"/>
        <v>12518.788822852317</v>
      </c>
      <c r="DF36" s="8">
        <f t="shared" si="80"/>
        <v>12393.600934623793</v>
      </c>
      <c r="DG36" s="8">
        <f t="shared" si="80"/>
        <v>12269.664925277555</v>
      </c>
      <c r="DH36" s="8">
        <f t="shared" si="80"/>
        <v>12146.96827602478</v>
      </c>
      <c r="DI36" s="8">
        <f t="shared" si="80"/>
        <v>12025.498593264532</v>
      </c>
      <c r="DJ36" s="8">
        <f t="shared" si="80"/>
        <v>11905.243607331888</v>
      </c>
      <c r="DK36" s="8">
        <f t="shared" si="80"/>
        <v>11786.191171258568</v>
      </c>
      <c r="DL36" s="8">
        <f t="shared" si="80"/>
        <v>11668.329259545982</v>
      </c>
      <c r="DM36" s="8">
        <f t="shared" si="80"/>
        <v>11551.645966950522</v>
      </c>
    </row>
    <row r="37" spans="2:117" x14ac:dyDescent="0.2">
      <c r="B37" s="4" t="s">
        <v>1</v>
      </c>
      <c r="C37" s="4">
        <v>2511</v>
      </c>
      <c r="G37" s="4">
        <v>2511.0309999999999</v>
      </c>
      <c r="H37" s="4">
        <v>2511.0309999999999</v>
      </c>
      <c r="I37" s="4">
        <v>2511.0309999999999</v>
      </c>
      <c r="J37" s="4">
        <v>2511.0309999999999</v>
      </c>
      <c r="L37" s="4">
        <f>L36/L38</f>
        <v>2865.8493870402804</v>
      </c>
      <c r="M37" s="4">
        <f>M36/M38</f>
        <v>10299.999999999998</v>
      </c>
      <c r="N37" s="4">
        <f>N36/N38</f>
        <v>2584.2729970326409</v>
      </c>
      <c r="O37" s="4">
        <v>2530</v>
      </c>
      <c r="P37" s="4">
        <v>2530</v>
      </c>
      <c r="Q37" s="4">
        <v>2530</v>
      </c>
      <c r="R37" s="4">
        <v>2530</v>
      </c>
      <c r="S37" s="4">
        <v>2530</v>
      </c>
      <c r="T37" s="4">
        <v>2530</v>
      </c>
      <c r="U37" s="4">
        <v>2530</v>
      </c>
      <c r="V37" s="4">
        <v>2530</v>
      </c>
      <c r="W37" s="4">
        <v>2530</v>
      </c>
      <c r="X37" s="4">
        <v>2530</v>
      </c>
    </row>
    <row r="38" spans="2:117" x14ac:dyDescent="0.2">
      <c r="B38" s="4" t="s">
        <v>17</v>
      </c>
      <c r="C38" s="3">
        <f>C36/C37</f>
        <v>1.9211469534050178</v>
      </c>
      <c r="D38" s="3" t="e">
        <f t="shared" ref="D38:F38" si="81">D36/D37</f>
        <v>#DIV/0!</v>
      </c>
      <c r="E38" s="3" t="e">
        <f t="shared" si="81"/>
        <v>#DIV/0!</v>
      </c>
      <c r="F38" s="3" t="e">
        <f t="shared" si="81"/>
        <v>#DIV/0!</v>
      </c>
      <c r="G38" s="3">
        <f>G36/G37</f>
        <v>2.0246663621436771</v>
      </c>
      <c r="H38" s="3">
        <f>H36/H37</f>
        <v>1.9797369486876111</v>
      </c>
      <c r="I38" s="3">
        <f t="shared" ref="I38:J38" si="82">I36/I37</f>
        <v>2.0490065775965136</v>
      </c>
      <c r="J38" s="3">
        <f t="shared" si="82"/>
        <v>2.1203955340205556</v>
      </c>
      <c r="L38" s="3">
        <v>5.71</v>
      </c>
      <c r="M38" s="3">
        <v>0.14000000000000001</v>
      </c>
      <c r="N38" s="3">
        <v>6.74</v>
      </c>
      <c r="O38" s="3">
        <f t="shared" ref="O38:S38" si="83">O36/O37</f>
        <v>9.6650731702513504</v>
      </c>
      <c r="P38" s="3">
        <f t="shared" si="83"/>
        <v>10.10446529891707</v>
      </c>
      <c r="Q38" s="3">
        <f t="shared" si="83"/>
        <v>10.478271410012734</v>
      </c>
      <c r="R38" s="3">
        <f t="shared" si="83"/>
        <v>11.400802194580788</v>
      </c>
      <c r="S38" s="3">
        <f t="shared" si="83"/>
        <v>7.9465939721753589</v>
      </c>
      <c r="T38" s="3">
        <f t="shared" ref="T38:X38" si="84">T36/T37</f>
        <v>8.3270703307430978</v>
      </c>
      <c r="U38" s="3">
        <f t="shared" si="84"/>
        <v>8.9618009510625303</v>
      </c>
      <c r="V38" s="3">
        <f t="shared" si="84"/>
        <v>9.7585880207076503</v>
      </c>
      <c r="W38" s="3">
        <f t="shared" si="84"/>
        <v>10.677923953525498</v>
      </c>
      <c r="X38" s="3">
        <f t="shared" si="84"/>
        <v>11.626533612309604</v>
      </c>
    </row>
    <row r="40" spans="2:117" s="8" customFormat="1" x14ac:dyDescent="0.2">
      <c r="B40" s="8" t="s">
        <v>32</v>
      </c>
      <c r="G40" s="9">
        <f>G26/C26-1</f>
        <v>-1.5594294770206019E-2</v>
      </c>
      <c r="H40" s="9" t="e">
        <f>H26/D26-1</f>
        <v>#DIV/0!</v>
      </c>
      <c r="I40" s="9" t="e">
        <f t="shared" ref="I40:J40" si="85">I26/E26-1</f>
        <v>#DIV/0!</v>
      </c>
      <c r="J40" s="9" t="e">
        <f t="shared" si="85"/>
        <v>#DIV/0!</v>
      </c>
      <c r="L40" s="9"/>
      <c r="M40" s="9">
        <f>M26/L26-1</f>
        <v>1.4034377477523119E-2</v>
      </c>
      <c r="N40" s="9">
        <f t="shared" ref="N40:S40" si="86">N26/M26-1</f>
        <v>6.7420776844381525E-2</v>
      </c>
      <c r="O40" s="9">
        <f t="shared" si="86"/>
        <v>7.3673793791297904E-2</v>
      </c>
      <c r="P40" s="9">
        <f t="shared" si="86"/>
        <v>7.6039422023209013E-2</v>
      </c>
      <c r="Q40" s="9">
        <f t="shared" si="86"/>
        <v>7.849788096663679E-2</v>
      </c>
      <c r="R40" s="9">
        <f t="shared" si="86"/>
        <v>7.2618158472861571E-2</v>
      </c>
      <c r="S40" s="9">
        <f t="shared" si="86"/>
        <v>-0.32504592782207153</v>
      </c>
      <c r="T40" s="9">
        <f t="shared" ref="T40" si="87">T26/S26-1</f>
        <v>3.3779176082499918E-2</v>
      </c>
      <c r="U40" s="9">
        <f t="shared" ref="U40" si="88">U26/T26-1</f>
        <v>6.4494946393312658E-2</v>
      </c>
      <c r="V40" s="9">
        <f t="shared" ref="V40" si="89">V26/U26-1</f>
        <v>7.8893483115753948E-2</v>
      </c>
      <c r="W40" s="9">
        <f t="shared" ref="W40" si="90">W26/V26-1</f>
        <v>8.5396803118097386E-2</v>
      </c>
      <c r="X40" s="9">
        <f t="shared" ref="X40" si="91">X26/W26-1</f>
        <v>8.0194469310841399E-2</v>
      </c>
    </row>
    <row r="41" spans="2:117" s="8" customFormat="1" x14ac:dyDescent="0.2">
      <c r="B41" s="8" t="s">
        <v>31</v>
      </c>
      <c r="D41" s="9">
        <f>D26/C26-1</f>
        <v>-1</v>
      </c>
      <c r="E41" s="9" t="e">
        <f t="shared" ref="E41:H41" si="92">E26/D26-1</f>
        <v>#DIV/0!</v>
      </c>
      <c r="F41" s="9" t="e">
        <f t="shared" si="92"/>
        <v>#DIV/0!</v>
      </c>
      <c r="G41" s="9" t="e">
        <f t="shared" si="92"/>
        <v>#DIV/0!</v>
      </c>
      <c r="H41" s="9">
        <f t="shared" si="92"/>
        <v>3.0000000000000027E-2</v>
      </c>
      <c r="I41" s="9">
        <f t="shared" ref="I41:J41" si="93">I26/H26-1</f>
        <v>3.0000000000000027E-2</v>
      </c>
      <c r="J41" s="9">
        <f t="shared" si="93"/>
        <v>3.0000000000000027E-2</v>
      </c>
    </row>
    <row r="42" spans="2:117" x14ac:dyDescent="0.2">
      <c r="B42" s="4" t="s">
        <v>18</v>
      </c>
      <c r="C42" s="7">
        <f>C35/C34</f>
        <v>0.15767417496071243</v>
      </c>
      <c r="D42" s="7" t="e">
        <f t="shared" ref="D42:L42" si="94">D35/D34</f>
        <v>#DIV/0!</v>
      </c>
      <c r="E42" s="7" t="e">
        <f t="shared" si="94"/>
        <v>#DIV/0!</v>
      </c>
      <c r="F42" s="7" t="e">
        <f t="shared" si="94"/>
        <v>#DIV/0!</v>
      </c>
      <c r="G42" s="7">
        <f t="shared" si="94"/>
        <v>0.13859708573364962</v>
      </c>
      <c r="H42" s="7">
        <v>0.16500000000000001</v>
      </c>
      <c r="I42" s="7">
        <v>0.16500000000000001</v>
      </c>
      <c r="J42" s="7">
        <v>0.16500000000000001</v>
      </c>
      <c r="L42" s="7">
        <f t="shared" si="94"/>
        <v>0.10491193523684499</v>
      </c>
      <c r="M42" s="7">
        <f t="shared" ref="M42" si="95">M35/M34</f>
        <v>0.51184834123222744</v>
      </c>
      <c r="N42" s="7">
        <f t="shared" ref="N42" si="96">N35/N34</f>
        <v>0.13861826813708522</v>
      </c>
      <c r="O42" s="10">
        <v>0.16500000000000001</v>
      </c>
      <c r="P42" s="10">
        <v>0.16500000000000001</v>
      </c>
      <c r="Q42" s="7">
        <v>0.21</v>
      </c>
      <c r="R42" s="7">
        <v>0.21</v>
      </c>
      <c r="S42" s="7">
        <v>0.21</v>
      </c>
      <c r="T42" s="7">
        <v>0.21</v>
      </c>
      <c r="U42" s="7">
        <v>0.21</v>
      </c>
      <c r="V42" s="7">
        <v>0.21</v>
      </c>
      <c r="W42" s="7">
        <v>0.21</v>
      </c>
      <c r="X42" s="7">
        <v>0.21</v>
      </c>
    </row>
    <row r="43" spans="2:117" x14ac:dyDescent="0.2">
      <c r="C43" s="7"/>
      <c r="D43" s="7"/>
      <c r="E43" s="7"/>
      <c r="F43" s="7"/>
      <c r="G43" s="7"/>
      <c r="H43" s="7"/>
      <c r="I43" s="7"/>
      <c r="J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117" x14ac:dyDescent="0.2">
      <c r="B44" s="4" t="s">
        <v>62</v>
      </c>
      <c r="C44" s="7"/>
      <c r="D44" s="7"/>
      <c r="E44" s="7"/>
      <c r="F44" s="7"/>
      <c r="G44" s="7"/>
      <c r="H44" s="7"/>
      <c r="I44" s="7"/>
      <c r="J44" s="7"/>
      <c r="L44" s="7"/>
      <c r="M44" s="7"/>
      <c r="N44" s="7">
        <f>N9/M9-1</f>
        <v>0.1787613450081964</v>
      </c>
      <c r="O44" s="7">
        <f t="shared" ref="O44:S44" si="97">O9/N9-1</f>
        <v>9.000000000000008E-2</v>
      </c>
      <c r="P44" s="7">
        <f t="shared" si="97"/>
        <v>9.000000000000008E-2</v>
      </c>
      <c r="Q44" s="7">
        <f t="shared" si="97"/>
        <v>9.000000000000008E-2</v>
      </c>
      <c r="R44" s="7">
        <f t="shared" si="97"/>
        <v>9.000000000000008E-2</v>
      </c>
      <c r="S44" s="7">
        <f t="shared" si="97"/>
        <v>-0.5</v>
      </c>
      <c r="T44" s="7">
        <f t="shared" ref="T44" si="98">T9/S9-1</f>
        <v>4.0000000000000036E-2</v>
      </c>
      <c r="U44" s="7">
        <f t="shared" ref="U44" si="99">U9/T9-1</f>
        <v>4.0000000000000036E-2</v>
      </c>
      <c r="V44" s="7">
        <f t="shared" ref="V44" si="100">V9/U9-1</f>
        <v>4.0000000000000036E-2</v>
      </c>
      <c r="W44" s="7">
        <f t="shared" ref="W44" si="101">W9/V9-1</f>
        <v>4.0000000000000036E-2</v>
      </c>
      <c r="X44" s="7">
        <f t="shared" ref="X44" si="102">X9/W9-1</f>
        <v>4.0000000000000036E-2</v>
      </c>
    </row>
    <row r="45" spans="2:117" x14ac:dyDescent="0.2">
      <c r="B45" s="4" t="s">
        <v>65</v>
      </c>
      <c r="C45" s="7"/>
      <c r="D45" s="7"/>
      <c r="E45" s="7"/>
      <c r="F45" s="7"/>
      <c r="G45" s="7"/>
      <c r="H45" s="7"/>
      <c r="I45" s="7"/>
      <c r="J45" s="7"/>
      <c r="L45" s="7"/>
      <c r="M45" s="7"/>
      <c r="N45" s="7">
        <f>N11/M11-1</f>
        <v>-3.4098582039162717E-2</v>
      </c>
      <c r="O45" s="7">
        <f t="shared" ref="O45:S45" si="103">O11/N11-1</f>
        <v>8.0000000000000071E-2</v>
      </c>
      <c r="P45" s="7">
        <f t="shared" si="103"/>
        <v>8.0000000000000071E-2</v>
      </c>
      <c r="Q45" s="7">
        <f t="shared" si="103"/>
        <v>8.0000000000000071E-2</v>
      </c>
      <c r="R45" s="7">
        <f t="shared" si="103"/>
        <v>1.7377915789568377E-2</v>
      </c>
      <c r="S45" s="7">
        <f t="shared" si="103"/>
        <v>-0.8</v>
      </c>
      <c r="T45" s="7">
        <f t="shared" ref="T45:T46" si="104">T11/S11-1</f>
        <v>-0.8</v>
      </c>
      <c r="U45" s="7">
        <f t="shared" ref="U45:U46" si="105">U11/T11-1</f>
        <v>-1</v>
      </c>
      <c r="V45" s="7" t="e">
        <f t="shared" ref="V45:V46" si="106">V11/U11-1</f>
        <v>#DIV/0!</v>
      </c>
      <c r="W45" s="7" t="e">
        <f t="shared" ref="W45:W46" si="107">W11/V11-1</f>
        <v>#DIV/0!</v>
      </c>
      <c r="X45" s="7" t="e">
        <f t="shared" ref="X45:X46" si="108">X11/W11-1</f>
        <v>#DIV/0!</v>
      </c>
    </row>
    <row r="46" spans="2:117" x14ac:dyDescent="0.2">
      <c r="B46" s="4" t="s">
        <v>66</v>
      </c>
      <c r="C46" s="7"/>
      <c r="D46" s="7"/>
      <c r="E46" s="7"/>
      <c r="F46" s="7"/>
      <c r="G46" s="7"/>
      <c r="H46" s="7"/>
      <c r="I46" s="7"/>
      <c r="J46" s="7"/>
      <c r="L46" s="7"/>
      <c r="M46" s="7"/>
      <c r="N46" s="7">
        <f>N12/M12-1</f>
        <v>4.9408783783783772E-2</v>
      </c>
      <c r="O46" s="7">
        <f t="shared" ref="O46:S46" si="109">O12/N12-1</f>
        <v>0.10000000000000009</v>
      </c>
      <c r="P46" s="7">
        <f t="shared" si="109"/>
        <v>0.10000000000000009</v>
      </c>
      <c r="Q46" s="7">
        <f t="shared" si="109"/>
        <v>0.10000000000000009</v>
      </c>
      <c r="R46" s="7">
        <f t="shared" si="109"/>
        <v>0.10000000000000009</v>
      </c>
      <c r="S46" s="7">
        <f t="shared" si="109"/>
        <v>0.10000000000000009</v>
      </c>
      <c r="T46" s="7">
        <f t="shared" si="104"/>
        <v>5.0000000000000044E-2</v>
      </c>
      <c r="U46" s="7">
        <f t="shared" si="105"/>
        <v>5.0000000000000044E-2</v>
      </c>
      <c r="V46" s="7">
        <f t="shared" si="106"/>
        <v>5.0000000000000044E-2</v>
      </c>
      <c r="W46" s="7">
        <f t="shared" si="107"/>
        <v>5.0000000000000044E-2</v>
      </c>
      <c r="X46" s="7">
        <f t="shared" si="108"/>
        <v>2.7834022398020908E-2</v>
      </c>
    </row>
    <row r="47" spans="2:117" x14ac:dyDescent="0.2">
      <c r="B47" s="4" t="s">
        <v>63</v>
      </c>
      <c r="C47" s="7"/>
      <c r="D47" s="7"/>
      <c r="E47" s="7"/>
      <c r="F47" s="7"/>
      <c r="G47" s="7"/>
      <c r="H47" s="7"/>
      <c r="I47" s="7"/>
      <c r="J47" s="7"/>
      <c r="L47" s="7"/>
      <c r="M47" s="7"/>
      <c r="N47" s="7">
        <f>N19/M19-1</f>
        <v>-0.39058931018730014</v>
      </c>
      <c r="O47" s="7">
        <f t="shared" ref="O47:S47" si="110">O19/N19-1</f>
        <v>9.000000000000008E-2</v>
      </c>
      <c r="P47" s="7">
        <f t="shared" si="110"/>
        <v>9.000000000000008E-2</v>
      </c>
      <c r="Q47" s="7">
        <f t="shared" si="110"/>
        <v>9.000000000000008E-2</v>
      </c>
      <c r="R47" s="7">
        <f t="shared" si="110"/>
        <v>9.000000000000008E-2</v>
      </c>
      <c r="S47" s="7">
        <f t="shared" si="110"/>
        <v>9.000000000000008E-2</v>
      </c>
      <c r="T47" s="7">
        <f t="shared" ref="T47" si="111">T19/S19-1</f>
        <v>9.000000000000008E-2</v>
      </c>
      <c r="U47" s="7">
        <f t="shared" ref="U47" si="112">U19/T19-1</f>
        <v>9.000000000000008E-2</v>
      </c>
      <c r="V47" s="7">
        <f t="shared" ref="V47" si="113">V19/U19-1</f>
        <v>9.000000000000008E-2</v>
      </c>
      <c r="W47" s="7">
        <f t="shared" ref="W47" si="114">W19/V19-1</f>
        <v>9.000000000000008E-2</v>
      </c>
      <c r="X47" s="7">
        <f t="shared" ref="X47" si="115">X19/W19-1</f>
        <v>3.5444781520916457E-2</v>
      </c>
    </row>
    <row r="48" spans="2:117" x14ac:dyDescent="0.2">
      <c r="B48" s="4" t="s">
        <v>64</v>
      </c>
      <c r="C48" s="7"/>
      <c r="D48" s="7"/>
      <c r="E48" s="7"/>
      <c r="F48" s="7"/>
      <c r="G48" s="7"/>
      <c r="H48" s="7"/>
      <c r="I48" s="7"/>
      <c r="J48" s="7"/>
      <c r="L48" s="7"/>
      <c r="M48" s="7"/>
      <c r="N48" s="7">
        <f>SUM(N22:N23)/SUM(M22:M23)-1</f>
        <v>4.4799999999999951E-2</v>
      </c>
      <c r="O48" s="7">
        <f t="shared" ref="O48:S48" si="116">SUM(O22:O23)/SUM(N22:N23)-1</f>
        <v>7.589076059213884E-2</v>
      </c>
      <c r="P48" s="7">
        <f t="shared" si="116"/>
        <v>7.5913259665887134E-2</v>
      </c>
      <c r="Q48" s="7">
        <f t="shared" si="116"/>
        <v>7.5935720544183294E-2</v>
      </c>
      <c r="R48" s="7">
        <f t="shared" si="116"/>
        <v>7.5958142354894287E-2</v>
      </c>
      <c r="S48" s="7">
        <f t="shared" si="116"/>
        <v>7.5980524232292401E-2</v>
      </c>
      <c r="T48" s="7">
        <f t="shared" ref="T48" si="117">SUM(T22:T23)/SUM(S22:S23)-1</f>
        <v>7.6002865317180479E-2</v>
      </c>
      <c r="U48" s="7">
        <f t="shared" ref="U48" si="118">SUM(U22:U23)/SUM(T22:T23)-1</f>
        <v>7.6025164757013819E-2</v>
      </c>
      <c r="V48" s="7">
        <f t="shared" ref="V48" si="119">SUM(V22:V23)/SUM(U22:U23)-1</f>
        <v>7.6047421706019636E-2</v>
      </c>
      <c r="W48" s="7">
        <f t="shared" ref="W48" si="120">SUM(W22:W23)/SUM(V22:V23)-1</f>
        <v>7.0000000000000062E-2</v>
      </c>
      <c r="X48" s="7">
        <f t="shared" ref="X48" si="121">SUM(X22:X23)/SUM(W22:W23)-1</f>
        <v>4.0512734854053711E-2</v>
      </c>
    </row>
    <row r="50" spans="2:24" x14ac:dyDescent="0.2">
      <c r="B50" s="4" t="s">
        <v>19</v>
      </c>
      <c r="C50" s="7">
        <f>C28/C26</f>
        <v>0.77559429477020603</v>
      </c>
      <c r="D50" s="7" t="e">
        <f t="shared" ref="D50:J50" si="122">D28/D26</f>
        <v>#DIV/0!</v>
      </c>
      <c r="E50" s="7" t="e">
        <f t="shared" si="122"/>
        <v>#DIV/0!</v>
      </c>
      <c r="F50" s="7" t="e">
        <f t="shared" si="122"/>
        <v>#DIV/0!</v>
      </c>
      <c r="G50" s="7">
        <f t="shared" si="122"/>
        <v>0.77983128340524177</v>
      </c>
      <c r="H50" s="7">
        <f t="shared" si="122"/>
        <v>0.77983128340524188</v>
      </c>
      <c r="I50" s="7">
        <f t="shared" si="122"/>
        <v>0.77983128340524188</v>
      </c>
      <c r="J50" s="7">
        <f t="shared" si="122"/>
        <v>0.77983128340524188</v>
      </c>
      <c r="L50" s="7">
        <f t="shared" ref="L50:S50" si="123">L28/L26</f>
        <v>0.70630703574380516</v>
      </c>
      <c r="M50" s="7">
        <f t="shared" si="123"/>
        <v>0.73174748398902101</v>
      </c>
      <c r="N50" s="7">
        <f t="shared" si="123"/>
        <v>0.76323089390350329</v>
      </c>
      <c r="O50" s="7">
        <f t="shared" si="123"/>
        <v>0.79238381733204633</v>
      </c>
      <c r="P50" s="7">
        <f t="shared" si="123"/>
        <v>0.79238381733204633</v>
      </c>
      <c r="Q50" s="7">
        <f t="shared" si="123"/>
        <v>0.79238381733204633</v>
      </c>
      <c r="R50" s="7">
        <f t="shared" si="123"/>
        <v>0.79238381733204633</v>
      </c>
      <c r="S50" s="7">
        <f t="shared" si="123"/>
        <v>0.79238381733204621</v>
      </c>
      <c r="T50" s="7">
        <f t="shared" ref="T50:X50" si="124">T28/T26</f>
        <v>0.79238381733204621</v>
      </c>
      <c r="U50" s="7">
        <f t="shared" si="124"/>
        <v>0.79238381733204621</v>
      </c>
      <c r="V50" s="7">
        <f t="shared" si="124"/>
        <v>0.79238381733204633</v>
      </c>
      <c r="W50" s="7">
        <f t="shared" si="124"/>
        <v>0.79238381733204633</v>
      </c>
      <c r="X50" s="7">
        <f t="shared" si="124"/>
        <v>0.79238381733204621</v>
      </c>
    </row>
    <row r="51" spans="2:24" s="8" customFormat="1" x14ac:dyDescent="0.2">
      <c r="B51" s="8" t="s">
        <v>20</v>
      </c>
      <c r="C51" s="9">
        <f>C32/C26</f>
        <v>0.36513470681458005</v>
      </c>
      <c r="D51" s="9" t="e">
        <f t="shared" ref="D51:J51" si="125">D32/D26</f>
        <v>#DIV/0!</v>
      </c>
      <c r="E51" s="9" t="e">
        <f t="shared" si="125"/>
        <v>#DIV/0!</v>
      </c>
      <c r="F51" s="9" t="e">
        <f t="shared" si="125"/>
        <v>#DIV/0!</v>
      </c>
      <c r="G51" s="9">
        <f t="shared" si="125"/>
        <v>0.38231695537381671</v>
      </c>
      <c r="H51" s="9">
        <f t="shared" si="125"/>
        <v>0.38231695537381677</v>
      </c>
      <c r="I51" s="9">
        <f t="shared" si="125"/>
        <v>0.38231695537381677</v>
      </c>
      <c r="J51" s="9">
        <f t="shared" si="125"/>
        <v>0.38231695537381688</v>
      </c>
      <c r="L51" s="9">
        <f t="shared" ref="L51:S51" si="126">L32/L26</f>
        <v>0.3083852031779768</v>
      </c>
      <c r="M51" s="9">
        <f t="shared" si="126"/>
        <v>4.9139149962571738E-2</v>
      </c>
      <c r="N51" s="9">
        <f t="shared" si="126"/>
        <v>0.31512591946141377</v>
      </c>
      <c r="O51" s="9">
        <f t="shared" si="126"/>
        <v>0.41753307278414409</v>
      </c>
      <c r="P51" s="9">
        <f t="shared" si="126"/>
        <v>0.41753307278414403</v>
      </c>
      <c r="Q51" s="9">
        <f t="shared" si="126"/>
        <v>0.41753307278414409</v>
      </c>
      <c r="R51" s="9">
        <f t="shared" si="126"/>
        <v>0.41753307278414403</v>
      </c>
      <c r="S51" s="9">
        <f t="shared" si="126"/>
        <v>0.41753307278414398</v>
      </c>
      <c r="T51" s="9">
        <f t="shared" ref="T51:X51" si="127">T32/T26</f>
        <v>0.41753307278414392</v>
      </c>
      <c r="U51" s="9">
        <f t="shared" si="127"/>
        <v>0.41753307278414392</v>
      </c>
      <c r="V51" s="9">
        <f t="shared" si="127"/>
        <v>0.41753307278414403</v>
      </c>
      <c r="W51" s="9">
        <f t="shared" si="127"/>
        <v>0.41753307278414403</v>
      </c>
      <c r="X51" s="9">
        <f t="shared" si="127"/>
        <v>0.41753307278414398</v>
      </c>
    </row>
    <row r="52" spans="2:24" x14ac:dyDescent="0.2">
      <c r="B52" s="4" t="s">
        <v>21</v>
      </c>
      <c r="C52" s="7">
        <f>C113/C26</f>
        <v>0</v>
      </c>
      <c r="D52" s="7" t="e">
        <f t="shared" ref="D52:J52" si="128">D113/D26</f>
        <v>#DIV/0!</v>
      </c>
      <c r="E52" s="7" t="e">
        <f t="shared" si="128"/>
        <v>#DIV/0!</v>
      </c>
      <c r="F52" s="7" t="e">
        <f t="shared" si="128"/>
        <v>#DIV/0!</v>
      </c>
      <c r="G52" s="7">
        <f t="shared" si="128"/>
        <v>0</v>
      </c>
      <c r="H52" s="7">
        <f t="shared" si="128"/>
        <v>0</v>
      </c>
      <c r="I52" s="7">
        <f t="shared" si="128"/>
        <v>0</v>
      </c>
      <c r="J52" s="7">
        <f t="shared" si="128"/>
        <v>0</v>
      </c>
      <c r="L52" s="7">
        <f>L113/L26</f>
        <v>0.27908506654521531</v>
      </c>
      <c r="M52" s="7">
        <f>M113/M26</f>
        <v>0.16980786825251601</v>
      </c>
      <c r="N52" s="7">
        <f t="shared" ref="N52:S52" si="129">N113/N26</f>
        <v>0.28645119062461039</v>
      </c>
      <c r="O52" s="7">
        <f t="shared" si="129"/>
        <v>0.35867098676542758</v>
      </c>
      <c r="P52" s="7">
        <f t="shared" si="129"/>
        <v>0.3488946689523828</v>
      </c>
      <c r="Q52" s="7">
        <f t="shared" si="129"/>
        <v>0.33587355277062997</v>
      </c>
      <c r="R52" s="7">
        <f t="shared" si="129"/>
        <v>0.34105479426179558</v>
      </c>
      <c r="S52" s="7">
        <f t="shared" si="129"/>
        <v>0.32738668515390723</v>
      </c>
      <c r="T52" s="7">
        <f t="shared" ref="T52:X52" si="130">T113/T26</f>
        <v>0.32953003465560693</v>
      </c>
      <c r="U52" s="7">
        <f t="shared" si="130"/>
        <v>0.33279024224831838</v>
      </c>
      <c r="V52" s="7">
        <f t="shared" si="130"/>
        <v>0.33641564253210693</v>
      </c>
      <c r="W52" s="7">
        <f t="shared" si="130"/>
        <v>0.34007388657111798</v>
      </c>
      <c r="X52" s="7">
        <f t="shared" si="130"/>
        <v>0.34338927453133095</v>
      </c>
    </row>
    <row r="53" spans="2:24" x14ac:dyDescent="0.2">
      <c r="L53" s="7"/>
      <c r="M53" s="7"/>
      <c r="N53" s="7"/>
    </row>
    <row r="54" spans="2:24" x14ac:dyDescent="0.2">
      <c r="B54" s="4" t="s">
        <v>24</v>
      </c>
      <c r="G54" s="4">
        <f>G55-G56</f>
        <v>-32320</v>
      </c>
      <c r="H54" s="4">
        <f>G54+H36</f>
        <v>-27348.819149999999</v>
      </c>
      <c r="I54" s="4">
        <f>H54+I36</f>
        <v>-22203.700114451247</v>
      </c>
      <c r="J54" s="4">
        <f>I54+J36</f>
        <v>-16879.321196264078</v>
      </c>
      <c r="M54" s="4">
        <f>M55-M56</f>
        <v>-36253</v>
      </c>
      <c r="N54" s="4">
        <f>N55-N56</f>
        <v>-28625</v>
      </c>
      <c r="O54" s="4">
        <f>J54</f>
        <v>-16879.321196264078</v>
      </c>
      <c r="P54" s="4">
        <f>O54+P36</f>
        <v>8684.9760099961095</v>
      </c>
      <c r="Q54" s="4">
        <f>P54+Q36</f>
        <v>35195.002677328332</v>
      </c>
      <c r="R54" s="4">
        <f>Q54+R36</f>
        <v>64039.032229617726</v>
      </c>
      <c r="S54" s="4">
        <f>R54+S36</f>
        <v>84143.914979221387</v>
      </c>
      <c r="T54" s="4">
        <f t="shared" ref="T54:X54" si="131">S54+T36</f>
        <v>105211.40291600142</v>
      </c>
      <c r="U54" s="4">
        <f t="shared" si="131"/>
        <v>127884.75932218962</v>
      </c>
      <c r="V54" s="4">
        <f t="shared" si="131"/>
        <v>152573.98701457999</v>
      </c>
      <c r="W54" s="4">
        <f t="shared" si="131"/>
        <v>179589.13461699951</v>
      </c>
      <c r="X54" s="4">
        <f t="shared" si="131"/>
        <v>209004.2646561428</v>
      </c>
    </row>
    <row r="55" spans="2:24" x14ac:dyDescent="0.2">
      <c r="B55" s="4" t="s">
        <v>3</v>
      </c>
      <c r="G55" s="4">
        <f>8629+599</f>
        <v>9228</v>
      </c>
      <c r="M55" s="4">
        <f>M58+M59</f>
        <v>7093</v>
      </c>
      <c r="N55" s="4">
        <f>N58+N59</f>
        <v>13689</v>
      </c>
    </row>
    <row r="56" spans="2:24" x14ac:dyDescent="0.2">
      <c r="B56" s="4" t="s">
        <v>4</v>
      </c>
      <c r="G56" s="4">
        <f>33484+1409+6655</f>
        <v>41548</v>
      </c>
      <c r="M56" s="4">
        <f>SUM(M81:M83)</f>
        <v>43346</v>
      </c>
      <c r="N56" s="4">
        <f>SUM(N81:N83)</f>
        <v>42314</v>
      </c>
    </row>
    <row r="58" spans="2:24" x14ac:dyDescent="0.2">
      <c r="B58" s="4" t="s">
        <v>3</v>
      </c>
      <c r="G58" s="4">
        <f>8629+599</f>
        <v>9228</v>
      </c>
      <c r="M58" s="4">
        <v>6841</v>
      </c>
      <c r="N58" s="4">
        <v>13242</v>
      </c>
    </row>
    <row r="59" spans="2:24" x14ac:dyDescent="0.2">
      <c r="B59" s="4" t="s">
        <v>87</v>
      </c>
      <c r="M59" s="4">
        <v>252</v>
      </c>
      <c r="N59" s="4">
        <v>447</v>
      </c>
    </row>
    <row r="60" spans="2:24" x14ac:dyDescent="0.2">
      <c r="B60" s="4" t="s">
        <v>68</v>
      </c>
      <c r="M60" s="4">
        <v>10349</v>
      </c>
      <c r="N60" s="4">
        <v>10278</v>
      </c>
    </row>
    <row r="61" spans="2:24" x14ac:dyDescent="0.2">
      <c r="B61" s="4" t="s">
        <v>69</v>
      </c>
      <c r="M61" s="4">
        <v>6358</v>
      </c>
      <c r="N61" s="4">
        <v>6109</v>
      </c>
    </row>
    <row r="62" spans="2:24" x14ac:dyDescent="0.2">
      <c r="B62" s="4" t="s">
        <v>70</v>
      </c>
      <c r="M62" s="4">
        <v>8368</v>
      </c>
      <c r="N62" s="4">
        <v>8706</v>
      </c>
    </row>
    <row r="63" spans="2:24" x14ac:dyDescent="0.2">
      <c r="B63" s="4" t="s">
        <v>71</v>
      </c>
      <c r="M63" s="4">
        <v>252</v>
      </c>
      <c r="N63" s="4">
        <v>463</v>
      </c>
    </row>
    <row r="64" spans="2:24" x14ac:dyDescent="0.2">
      <c r="B64" s="4" t="s">
        <v>73</v>
      </c>
      <c r="M64" s="4">
        <v>326</v>
      </c>
      <c r="N64" s="4">
        <v>307</v>
      </c>
    </row>
    <row r="65" spans="2:14" x14ac:dyDescent="0.2">
      <c r="B65" s="4" t="s">
        <v>74</v>
      </c>
      <c r="M65" s="4">
        <v>14966</v>
      </c>
      <c r="N65" s="4">
        <v>16360</v>
      </c>
    </row>
    <row r="66" spans="2:14" x14ac:dyDescent="0.2">
      <c r="B66" s="4" t="s">
        <v>75</v>
      </c>
      <c r="M66" s="4">
        <v>17763</v>
      </c>
      <c r="N66" s="4">
        <v>18283</v>
      </c>
    </row>
    <row r="67" spans="2:14" x14ac:dyDescent="0.2">
      <c r="B67" s="4" t="s">
        <v>76</v>
      </c>
      <c r="M67" s="4">
        <v>8262</v>
      </c>
      <c r="N67" s="4">
        <v>7984</v>
      </c>
    </row>
    <row r="68" spans="2:14" x14ac:dyDescent="0.2">
      <c r="B68" s="4" t="s">
        <v>72</v>
      </c>
      <c r="M68" s="4">
        <f>SUM(M64:M67)</f>
        <v>41317</v>
      </c>
      <c r="N68" s="4">
        <f>SUM(N64:N67)</f>
        <v>42934</v>
      </c>
    </row>
    <row r="69" spans="2:14" x14ac:dyDescent="0.2">
      <c r="B69" s="4" t="s">
        <v>77</v>
      </c>
      <c r="M69" s="4">
        <v>18266</v>
      </c>
      <c r="N69" s="4">
        <v>19155</v>
      </c>
    </row>
    <row r="70" spans="2:14" x14ac:dyDescent="0.2">
      <c r="B70" s="4" t="s">
        <v>95</v>
      </c>
      <c r="M70" s="4">
        <f>M68-M69</f>
        <v>23051</v>
      </c>
      <c r="N70" s="4">
        <f>N68-N69</f>
        <v>23779</v>
      </c>
    </row>
    <row r="71" spans="2:14" x14ac:dyDescent="0.2">
      <c r="B71" s="4" t="s">
        <v>78</v>
      </c>
      <c r="M71" s="4">
        <v>21197</v>
      </c>
      <c r="N71" s="4">
        <v>21668</v>
      </c>
    </row>
    <row r="72" spans="2:14" x14ac:dyDescent="0.2">
      <c r="B72" s="4" t="s">
        <v>79</v>
      </c>
      <c r="M72" s="4">
        <v>18011</v>
      </c>
      <c r="N72" s="4">
        <v>16370</v>
      </c>
    </row>
    <row r="73" spans="2:14" x14ac:dyDescent="0.2">
      <c r="B73" s="4" t="s">
        <v>80</v>
      </c>
      <c r="M73" s="4">
        <v>11996</v>
      </c>
      <c r="N73" s="4">
        <v>16044</v>
      </c>
    </row>
    <row r="74" spans="2:14" x14ac:dyDescent="0.2">
      <c r="B74" s="4" t="s">
        <v>92</v>
      </c>
      <c r="M74" s="4">
        <f>SUM(M70:M73,M58:M63)</f>
        <v>106675</v>
      </c>
      <c r="N74" s="4">
        <f>SUM(N70:N73,N58:N63)</f>
        <v>117106</v>
      </c>
    </row>
    <row r="76" spans="2:14" x14ac:dyDescent="0.2">
      <c r="B76" s="4" t="s">
        <v>81</v>
      </c>
      <c r="M76" s="4">
        <v>1372</v>
      </c>
      <c r="N76" s="4">
        <v>2649</v>
      </c>
    </row>
    <row r="77" spans="2:14" x14ac:dyDescent="0.2">
      <c r="B77" s="4" t="s">
        <v>82</v>
      </c>
      <c r="M77" s="4">
        <v>3922</v>
      </c>
      <c r="N77" s="4">
        <v>4079</v>
      </c>
    </row>
    <row r="78" spans="2:14" x14ac:dyDescent="0.2">
      <c r="B78" s="4" t="s">
        <v>83</v>
      </c>
      <c r="M78" s="4">
        <v>15766</v>
      </c>
      <c r="N78" s="4">
        <v>15694</v>
      </c>
    </row>
    <row r="79" spans="2:14" x14ac:dyDescent="0.2">
      <c r="B79" s="4" t="s">
        <v>84</v>
      </c>
      <c r="M79" s="4">
        <v>2649</v>
      </c>
      <c r="N79" s="4">
        <v>3914</v>
      </c>
    </row>
    <row r="80" spans="2:14" x14ac:dyDescent="0.2">
      <c r="B80" s="4" t="s">
        <v>85</v>
      </c>
      <c r="M80" s="4">
        <v>1985</v>
      </c>
      <c r="N80" s="4">
        <v>2084</v>
      </c>
    </row>
    <row r="81" spans="2:24" x14ac:dyDescent="0.2">
      <c r="B81" s="4" t="s">
        <v>86</v>
      </c>
      <c r="M81" s="4">
        <v>33683</v>
      </c>
      <c r="N81" s="4">
        <v>34462</v>
      </c>
    </row>
    <row r="82" spans="2:24" x14ac:dyDescent="0.2">
      <c r="B82" s="4" t="s">
        <v>88</v>
      </c>
      <c r="M82" s="4">
        <v>871</v>
      </c>
      <c r="N82" s="4">
        <v>1387</v>
      </c>
    </row>
    <row r="83" spans="2:24" x14ac:dyDescent="0.2">
      <c r="B83" s="4" t="s">
        <v>89</v>
      </c>
      <c r="M83" s="4">
        <v>8792</v>
      </c>
      <c r="N83" s="4">
        <v>6465</v>
      </c>
    </row>
    <row r="84" spans="2:24" x14ac:dyDescent="0.2">
      <c r="B84" s="4" t="s">
        <v>94</v>
      </c>
      <c r="M84" s="4">
        <f>SUM(M77:M83)</f>
        <v>67668</v>
      </c>
      <c r="N84" s="4">
        <f>SUM(N77:N83)</f>
        <v>68085</v>
      </c>
    </row>
    <row r="85" spans="2:24" x14ac:dyDescent="0.2">
      <c r="B85" s="4" t="s">
        <v>90</v>
      </c>
      <c r="M85" s="4">
        <f>M74-M84</f>
        <v>39007</v>
      </c>
      <c r="N85" s="4">
        <f>N74-N84</f>
        <v>49021</v>
      </c>
    </row>
    <row r="86" spans="2:24" x14ac:dyDescent="0.2">
      <c r="B86" s="4" t="s">
        <v>93</v>
      </c>
      <c r="M86" s="4">
        <f>M85+M84</f>
        <v>106675</v>
      </c>
      <c r="N86" s="4">
        <f>N85+N84</f>
        <v>117106</v>
      </c>
    </row>
    <row r="88" spans="2:24" x14ac:dyDescent="0.2">
      <c r="B88" s="4" t="s">
        <v>91</v>
      </c>
      <c r="M88" s="4">
        <f>M60/M26*360</f>
        <v>61.9752141728354</v>
      </c>
      <c r="N88" s="4">
        <f>N60/N26*360</f>
        <v>57.662386236130153</v>
      </c>
    </row>
    <row r="90" spans="2:24" x14ac:dyDescent="0.2">
      <c r="B90" s="4" t="s">
        <v>97</v>
      </c>
      <c r="L90" s="4">
        <f>L36</f>
        <v>16364</v>
      </c>
      <c r="M90" s="4">
        <f t="shared" ref="M90:S90" si="132">M36</f>
        <v>1442</v>
      </c>
      <c r="N90" s="4">
        <f t="shared" si="132"/>
        <v>17418</v>
      </c>
      <c r="O90" s="4">
        <f t="shared" si="132"/>
        <v>24452.635120735915</v>
      </c>
      <c r="P90" s="4">
        <f t="shared" si="132"/>
        <v>25564.297206260188</v>
      </c>
      <c r="Q90" s="4">
        <f t="shared" si="132"/>
        <v>26510.026667332218</v>
      </c>
      <c r="R90" s="4">
        <f t="shared" si="132"/>
        <v>28844.029552289394</v>
      </c>
      <c r="S90" s="4">
        <f t="shared" si="132"/>
        <v>20104.882749603657</v>
      </c>
      <c r="T90" s="4">
        <f t="shared" ref="T90:X90" si="133">T36</f>
        <v>21067.487936780039</v>
      </c>
      <c r="U90" s="4">
        <f t="shared" si="133"/>
        <v>22673.356406188203</v>
      </c>
      <c r="V90" s="4">
        <f t="shared" si="133"/>
        <v>24689.227692390356</v>
      </c>
      <c r="W90" s="4">
        <f t="shared" si="133"/>
        <v>27015.147602419511</v>
      </c>
      <c r="X90" s="4">
        <f t="shared" si="133"/>
        <v>29415.1300391433</v>
      </c>
    </row>
    <row r="91" spans="2:24" x14ac:dyDescent="0.2">
      <c r="B91" s="4" t="s">
        <v>98</v>
      </c>
      <c r="L91" s="4">
        <v>14526</v>
      </c>
      <c r="M91" s="4">
        <v>377</v>
      </c>
      <c r="N91" s="4">
        <v>17133</v>
      </c>
    </row>
    <row r="92" spans="2:24" x14ac:dyDescent="0.2">
      <c r="B92" s="4" t="s">
        <v>99</v>
      </c>
      <c r="L92" s="4">
        <f>2085+1824</f>
        <v>3909</v>
      </c>
      <c r="M92" s="4">
        <f>2044+1828</f>
        <v>3872</v>
      </c>
      <c r="N92" s="4">
        <f>2395+2104</f>
        <v>4499</v>
      </c>
      <c r="O92" s="4">
        <f>N92*(1+O40)</f>
        <v>4830.4583982670492</v>
      </c>
      <c r="P92" s="4">
        <f>O92*1.08</f>
        <v>5216.8950701284139</v>
      </c>
      <c r="Q92" s="4">
        <f t="shared" ref="Q92:R92" si="134">P92*1.08</f>
        <v>5634.2466757386874</v>
      </c>
      <c r="R92" s="4">
        <f t="shared" si="134"/>
        <v>6084.9864097977825</v>
      </c>
      <c r="S92" s="4">
        <f>R92*(1+S40)</f>
        <v>4107.0863564403662</v>
      </c>
      <c r="T92" s="4">
        <f t="shared" ref="T92:X92" si="135">S92*(1+T40)</f>
        <v>4245.8203496605984</v>
      </c>
      <c r="U92" s="4">
        <f t="shared" si="135"/>
        <v>4519.6543055075945</v>
      </c>
      <c r="V92" s="4">
        <f t="shared" si="135"/>
        <v>4876.2255761482029</v>
      </c>
      <c r="W92" s="4">
        <f t="shared" si="135"/>
        <v>5292.6396516339619</v>
      </c>
      <c r="X92" s="4">
        <f t="shared" si="135"/>
        <v>5717.0800797502643</v>
      </c>
    </row>
    <row r="93" spans="2:24" x14ac:dyDescent="0.2">
      <c r="B93" s="4" t="s">
        <v>108</v>
      </c>
      <c r="L93" s="4">
        <v>1749</v>
      </c>
      <c r="M93" s="4">
        <v>792</v>
      </c>
      <c r="N93" s="4">
        <v>39</v>
      </c>
      <c r="O93" s="4">
        <f>N93*(1+O40)</f>
        <v>41.873277957860616</v>
      </c>
      <c r="P93" s="4">
        <f>O93*(1+P40)</f>
        <v>45.057297811993514</v>
      </c>
      <c r="Q93" s="4">
        <f>P93*(1+Q40)</f>
        <v>48.594200212317688</v>
      </c>
      <c r="R93" s="4">
        <f>Q93*(1+R40)</f>
        <v>52.123021544197734</v>
      </c>
      <c r="S93" s="4">
        <f>R93*(1+S40)</f>
        <v>35.180645645474158</v>
      </c>
      <c r="T93" s="4">
        <f t="shared" ref="T93:X93" si="136">S93*(1+T40)</f>
        <v>36.369018869428665</v>
      </c>
      <c r="U93" s="4">
        <f t="shared" si="136"/>
        <v>38.714636791789843</v>
      </c>
      <c r="V93" s="4">
        <f t="shared" si="136"/>
        <v>41.768969335855459</v>
      </c>
      <c r="W93" s="4">
        <f t="shared" si="136"/>
        <v>45.335905786675355</v>
      </c>
      <c r="X93" s="4">
        <f t="shared" si="136"/>
        <v>48.971594691964086</v>
      </c>
    </row>
    <row r="94" spans="2:24" x14ac:dyDescent="0.2">
      <c r="B94" s="4" t="s">
        <v>100</v>
      </c>
      <c r="L94" s="4">
        <v>1419</v>
      </c>
      <c r="M94" s="4">
        <v>-340</v>
      </c>
      <c r="N94" s="4">
        <v>-14</v>
      </c>
      <c r="O94" s="4">
        <f>N94*(1+O40)</f>
        <v>-15.031433113078171</v>
      </c>
      <c r="P94" s="4">
        <f>O94*(1+P40)</f>
        <v>-16.174414599177162</v>
      </c>
      <c r="Q94" s="4">
        <f>P94*(1+Q40)</f>
        <v>-17.444071871088404</v>
      </c>
      <c r="R94" s="4">
        <f>Q94*(1+R40)</f>
        <v>-18.710828246635089</v>
      </c>
      <c r="S94" s="4">
        <f>R94*(1+S40)</f>
        <v>-12.628949718888162</v>
      </c>
      <c r="T94" s="4">
        <f t="shared" ref="T94:X94" si="137">S94*(1+T40)</f>
        <v>-13.055545235179522</v>
      </c>
      <c r="U94" s="4">
        <f t="shared" si="137"/>
        <v>-13.897561925257895</v>
      </c>
      <c r="V94" s="4">
        <f t="shared" si="137"/>
        <v>-14.993988992358373</v>
      </c>
      <c r="W94" s="4">
        <f t="shared" si="137"/>
        <v>-16.274427718293719</v>
      </c>
      <c r="X94" s="4">
        <f t="shared" si="137"/>
        <v>-17.579546812499931</v>
      </c>
    </row>
    <row r="95" spans="2:24" x14ac:dyDescent="0.2">
      <c r="B95" s="4" t="s">
        <v>101</v>
      </c>
      <c r="L95" s="4">
        <v>0</v>
      </c>
      <c r="M95" s="4">
        <v>11409</v>
      </c>
      <c r="N95" s="4">
        <v>3456</v>
      </c>
      <c r="O95" s="4">
        <f>N95*(1+O40)</f>
        <v>3710.6166313427257</v>
      </c>
      <c r="P95" s="4">
        <f>O95*(1+P40)</f>
        <v>3992.7697753397333</v>
      </c>
      <c r="Q95" s="4">
        <f>P95*(1+Q40)</f>
        <v>4306.1937418915368</v>
      </c>
      <c r="R95" s="4">
        <f>Q95*(1+R40)</f>
        <v>4618.9016014550607</v>
      </c>
      <c r="S95" s="4">
        <f>R95*(1+S40)</f>
        <v>3117.5464448912485</v>
      </c>
      <c r="T95" s="4">
        <f t="shared" ref="T95:X95" si="138">S95*(1+T40)</f>
        <v>3222.8545951986016</v>
      </c>
      <c r="U95" s="4">
        <f t="shared" si="138"/>
        <v>3430.7124295493768</v>
      </c>
      <c r="V95" s="4">
        <f t="shared" si="138"/>
        <v>3701.3732826850378</v>
      </c>
      <c r="W95" s="4">
        <f t="shared" si="138"/>
        <v>4017.4587281730778</v>
      </c>
      <c r="X95" s="4">
        <f t="shared" si="138"/>
        <v>4339.6366988571253</v>
      </c>
    </row>
    <row r="96" spans="2:24" x14ac:dyDescent="0.2">
      <c r="B96" s="4" t="s">
        <v>88</v>
      </c>
      <c r="L96" s="4">
        <v>-1568</v>
      </c>
      <c r="M96" s="4">
        <v>-1899</v>
      </c>
      <c r="N96" s="4">
        <v>-1249</v>
      </c>
      <c r="O96" s="4">
        <f>N96*(1+O40)</f>
        <v>-1341.0185684453311</v>
      </c>
      <c r="P96" s="4">
        <f>O96*(1+P40)</f>
        <v>-1442.9888453123053</v>
      </c>
      <c r="Q96" s="4">
        <f>P96*(1+Q40)</f>
        <v>-1556.2604119278153</v>
      </c>
      <c r="R96" s="4">
        <f>Q96*(1+R40)</f>
        <v>-1669.2731771462302</v>
      </c>
      <c r="S96" s="4">
        <f>R96*(1+S40)</f>
        <v>-1126.6827284922367</v>
      </c>
      <c r="T96" s="4">
        <f t="shared" ref="T96:X96" si="139">S96*(1+T40)</f>
        <v>-1164.7411427670875</v>
      </c>
      <c r="U96" s="4">
        <f t="shared" si="139"/>
        <v>-1239.8610603319364</v>
      </c>
      <c r="V96" s="4">
        <f t="shared" si="139"/>
        <v>-1337.6780179611148</v>
      </c>
      <c r="W96" s="4">
        <f t="shared" si="139"/>
        <v>-1451.9114442963469</v>
      </c>
      <c r="X96" s="4">
        <f t="shared" si="139"/>
        <v>-1568.3467120580297</v>
      </c>
    </row>
    <row r="97" spans="2:27" x14ac:dyDescent="0.2">
      <c r="B97" s="4" t="s">
        <v>113</v>
      </c>
      <c r="L97" s="4">
        <v>541</v>
      </c>
      <c r="M97" s="4">
        <v>645</v>
      </c>
      <c r="N97" s="4">
        <v>761</v>
      </c>
      <c r="O97" s="4">
        <f>N97*(1+O41)</f>
        <v>761</v>
      </c>
      <c r="P97" s="4">
        <f>O97*1.1</f>
        <v>837.1</v>
      </c>
      <c r="Q97" s="4">
        <f t="shared" ref="Q97:X97" si="140">P97*1.1</f>
        <v>920.81000000000006</v>
      </c>
      <c r="R97" s="4">
        <f t="shared" si="140"/>
        <v>1012.8910000000002</v>
      </c>
      <c r="S97" s="4">
        <f t="shared" si="140"/>
        <v>1114.1801000000003</v>
      </c>
      <c r="T97" s="4">
        <f t="shared" si="140"/>
        <v>1225.5981100000004</v>
      </c>
      <c r="U97" s="4">
        <f t="shared" si="140"/>
        <v>1348.1579210000004</v>
      </c>
      <c r="V97" s="4">
        <f t="shared" si="140"/>
        <v>1482.9737131000006</v>
      </c>
      <c r="W97" s="4">
        <f t="shared" si="140"/>
        <v>1631.2710844100009</v>
      </c>
      <c r="X97" s="4">
        <f t="shared" si="140"/>
        <v>1794.3981928510011</v>
      </c>
    </row>
    <row r="98" spans="2:27" x14ac:dyDescent="0.2">
      <c r="B98" s="4" t="s">
        <v>48</v>
      </c>
      <c r="L98" s="4">
        <v>1301</v>
      </c>
      <c r="M98" s="4">
        <v>355</v>
      </c>
      <c r="N98" s="4">
        <v>510</v>
      </c>
      <c r="O98" s="4">
        <f>N98*(1+O40)</f>
        <v>547.57363483356198</v>
      </c>
      <c r="P98" s="4">
        <f>O98*(1+P40)</f>
        <v>589.21081754145371</v>
      </c>
      <c r="Q98" s="4">
        <f>P98*(1+Q40)</f>
        <v>635.46261816107744</v>
      </c>
      <c r="R98" s="4">
        <f>Q98*(1+R40)</f>
        <v>681.60874327027807</v>
      </c>
      <c r="S98" s="4">
        <f>R98*(1+S40)</f>
        <v>460.05459690235438</v>
      </c>
      <c r="T98" s="4">
        <f t="shared" ref="T98:X98" si="141">S98*(1+T40)</f>
        <v>475.59486213868252</v>
      </c>
      <c r="U98" s="4">
        <f t="shared" si="141"/>
        <v>506.26832727725179</v>
      </c>
      <c r="V98" s="4">
        <f t="shared" si="141"/>
        <v>546.20959900734067</v>
      </c>
      <c r="W98" s="4">
        <f t="shared" si="141"/>
        <v>592.85415259498541</v>
      </c>
      <c r="X98" s="4">
        <f t="shared" si="141"/>
        <v>640.39777674106881</v>
      </c>
    </row>
    <row r="99" spans="2:27" x14ac:dyDescent="0.2">
      <c r="B99" s="4" t="s">
        <v>68</v>
      </c>
      <c r="L99" s="4">
        <v>-644</v>
      </c>
      <c r="M99" s="4">
        <v>-1148</v>
      </c>
      <c r="N99" s="4">
        <v>-244</v>
      </c>
      <c r="O99" s="4">
        <f>N99*(1+O40)</f>
        <v>-261.97640568507671</v>
      </c>
      <c r="P99" s="4">
        <f>O99*(1+P40)</f>
        <v>-281.89694015708767</v>
      </c>
      <c r="Q99" s="4">
        <f>P99*(1+Q40)</f>
        <v>-304.0252526103979</v>
      </c>
      <c r="R99" s="4">
        <f>Q99*(1+R40)</f>
        <v>-326.10300658421153</v>
      </c>
      <c r="S99" s="4">
        <f>R99*(1+S40)</f>
        <v>-220.10455224347939</v>
      </c>
      <c r="T99" s="4">
        <f t="shared" ref="T99:X99" si="142">S99*(1+T40)</f>
        <v>-227.53950267027167</v>
      </c>
      <c r="U99" s="4">
        <f t="shared" si="142"/>
        <v>-242.21465069735186</v>
      </c>
      <c r="V99" s="4">
        <f t="shared" si="142"/>
        <v>-261.32380815253163</v>
      </c>
      <c r="W99" s="4">
        <f t="shared" si="142"/>
        <v>-283.64002594740481</v>
      </c>
      <c r="X99" s="4">
        <f t="shared" si="142"/>
        <v>-306.38638730357025</v>
      </c>
    </row>
    <row r="100" spans="2:27" x14ac:dyDescent="0.2">
      <c r="B100" s="4" t="s">
        <v>69</v>
      </c>
      <c r="L100" s="4">
        <v>-161</v>
      </c>
      <c r="M100" s="4">
        <v>-816</v>
      </c>
      <c r="N100" s="4">
        <v>-835</v>
      </c>
      <c r="O100" s="4">
        <f>N100*(1+O40)</f>
        <v>-896.51761781573373</v>
      </c>
      <c r="P100" s="4">
        <f>O100*(1+P40)</f>
        <v>-964.68829930806635</v>
      </c>
      <c r="Q100" s="4">
        <f>P100*(1+Q40)</f>
        <v>-1040.4142865970582</v>
      </c>
      <c r="R100" s="4">
        <f>Q100*(1+R40)</f>
        <v>-1115.9672561385926</v>
      </c>
      <c r="S100" s="4">
        <f>R100*(1+S40)</f>
        <v>-753.22664394797243</v>
      </c>
      <c r="T100" s="4">
        <f t="shared" ref="T100:X100" si="143">S100*(1+T40)</f>
        <v>-778.6700193839215</v>
      </c>
      <c r="U100" s="4">
        <f t="shared" si="143"/>
        <v>-828.89030054216721</v>
      </c>
      <c r="V100" s="4">
        <f t="shared" si="143"/>
        <v>-894.2843434728029</v>
      </c>
      <c r="W100" s="4">
        <f t="shared" si="143"/>
        <v>-970.65336748394679</v>
      </c>
      <c r="X100" s="4">
        <f t="shared" si="143"/>
        <v>-1048.4943991741031</v>
      </c>
    </row>
    <row r="101" spans="2:27" x14ac:dyDescent="0.2">
      <c r="B101" s="4" t="s">
        <v>82</v>
      </c>
      <c r="L101" s="4">
        <v>-289</v>
      </c>
      <c r="M101" s="4">
        <v>-380</v>
      </c>
      <c r="N101" s="4">
        <v>182</v>
      </c>
      <c r="O101" s="4">
        <f>N101*(1+O40)</f>
        <v>195.40863047001622</v>
      </c>
      <c r="P101" s="4">
        <f>O101*(1+P40)</f>
        <v>210.26738978930308</v>
      </c>
      <c r="Q101" s="4">
        <f>P101*(1+Q40)</f>
        <v>226.77293432414922</v>
      </c>
      <c r="R101" s="4">
        <f>Q101*(1+R40)</f>
        <v>243.24076720625612</v>
      </c>
      <c r="S101" s="4">
        <f>R101*(1+S40)</f>
        <v>164.17634634554608</v>
      </c>
      <c r="T101" s="4">
        <f t="shared" ref="T101:X101" si="144">S101*(1+T40)</f>
        <v>169.72208805733376</v>
      </c>
      <c r="U101" s="4">
        <f t="shared" si="144"/>
        <v>180.66830502835259</v>
      </c>
      <c r="V101" s="4">
        <f t="shared" si="144"/>
        <v>194.92185690065881</v>
      </c>
      <c r="W101" s="4">
        <f t="shared" si="144"/>
        <v>211.56756033781832</v>
      </c>
      <c r="X101" s="4">
        <f t="shared" si="144"/>
        <v>228.53410856249909</v>
      </c>
    </row>
    <row r="102" spans="2:27" x14ac:dyDescent="0.2">
      <c r="B102" s="4" t="s">
        <v>83</v>
      </c>
      <c r="L102" s="4">
        <v>-50</v>
      </c>
      <c r="M102" s="4">
        <v>1783</v>
      </c>
      <c r="N102" s="4">
        <v>-2328</v>
      </c>
      <c r="O102" s="4">
        <f>N102*(1+O40)</f>
        <v>-2499.5125919461416</v>
      </c>
      <c r="P102" s="4">
        <f>O102*(1+P40)</f>
        <v>-2689.5740847774591</v>
      </c>
      <c r="Q102" s="4">
        <f>P102*(1+Q40)</f>
        <v>-2900.699951135271</v>
      </c>
      <c r="R102" s="4">
        <f>Q102*(1+R40)</f>
        <v>-3111.3434398690338</v>
      </c>
      <c r="S102" s="4">
        <f>R102*(1+S40)</f>
        <v>-2100.0139246836879</v>
      </c>
      <c r="T102" s="4">
        <f t="shared" ref="T102:X102" si="145">S102*(1+T40)</f>
        <v>-2170.95066482128</v>
      </c>
      <c r="U102" s="4">
        <f t="shared" si="145"/>
        <v>-2310.9660115714551</v>
      </c>
      <c r="V102" s="4">
        <f t="shared" si="145"/>
        <v>-2493.286169586449</v>
      </c>
      <c r="W102" s="4">
        <f t="shared" si="145"/>
        <v>-2706.2048377276983</v>
      </c>
      <c r="X102" s="4">
        <f t="shared" si="145"/>
        <v>-2923.2274985357026</v>
      </c>
    </row>
    <row r="103" spans="2:27" x14ac:dyDescent="0.2">
      <c r="B103" s="4" t="s">
        <v>84</v>
      </c>
      <c r="L103" s="4">
        <v>380</v>
      </c>
      <c r="M103" s="4">
        <v>214</v>
      </c>
      <c r="N103" s="4">
        <v>1023</v>
      </c>
      <c r="O103" s="4">
        <v>400</v>
      </c>
      <c r="P103" s="4">
        <f>O103*(1+P40)</f>
        <v>430.41576880928358</v>
      </c>
      <c r="Q103" s="4">
        <f>P103*(1+Q40)</f>
        <v>464.20249459543817</v>
      </c>
      <c r="R103" s="4">
        <f>Q103*(1+R40)</f>
        <v>497.91202491146737</v>
      </c>
      <c r="S103" s="4">
        <f>R103*(1+S40)</f>
        <v>336.06774880035306</v>
      </c>
      <c r="T103" s="4">
        <f t="shared" ref="T103:X103" si="146">S103*(1+T40)</f>
        <v>347.41984046272955</v>
      </c>
      <c r="U103" s="4">
        <f t="shared" si="146"/>
        <v>369.82666444934654</v>
      </c>
      <c r="V103" s="4">
        <f t="shared" si="146"/>
        <v>399.00357815683668</v>
      </c>
      <c r="W103" s="4">
        <f t="shared" si="146"/>
        <v>433.07720816411245</v>
      </c>
      <c r="X103" s="4">
        <f t="shared" si="146"/>
        <v>467.80760504345426</v>
      </c>
      <c r="Z103" s="4" t="s">
        <v>35</v>
      </c>
      <c r="AA103" s="11">
        <v>0.02</v>
      </c>
    </row>
    <row r="104" spans="2:27" x14ac:dyDescent="0.2">
      <c r="B104" s="4" t="s">
        <v>102</v>
      </c>
      <c r="L104" s="4">
        <v>-545</v>
      </c>
      <c r="M104" s="4">
        <v>456</v>
      </c>
      <c r="N104" s="4">
        <v>-49</v>
      </c>
      <c r="O104" s="4">
        <f>N104*(1+O40)</f>
        <v>-52.6100158957736</v>
      </c>
      <c r="P104" s="4">
        <f>O104*(1+P40)</f>
        <v>-56.610451097120063</v>
      </c>
      <c r="Q104" s="4">
        <f>P104*(1+Q40)</f>
        <v>-61.054251548809404</v>
      </c>
      <c r="R104" s="4">
        <f>Q104*(1+R40)</f>
        <v>-65.487898863222796</v>
      </c>
      <c r="S104" s="4">
        <f>R104*(1+S40)</f>
        <v>-44.201324016108558</v>
      </c>
      <c r="T104" s="4">
        <f t="shared" ref="T104:X104" si="147">S104*(1+T40)</f>
        <v>-45.694408323128322</v>
      </c>
      <c r="U104" s="4">
        <f t="shared" si="147"/>
        <v>-48.64146673840262</v>
      </c>
      <c r="V104" s="4">
        <f t="shared" si="147"/>
        <v>-52.478961473254294</v>
      </c>
      <c r="W104" s="4">
        <f t="shared" si="147"/>
        <v>-56.960497014028007</v>
      </c>
      <c r="X104" s="4">
        <f t="shared" si="147"/>
        <v>-61.528413843749746</v>
      </c>
      <c r="Z104" s="4" t="s">
        <v>36</v>
      </c>
      <c r="AA104" s="11">
        <v>-0.01</v>
      </c>
    </row>
    <row r="105" spans="2:27" x14ac:dyDescent="0.2">
      <c r="B105" s="4" t="s">
        <v>48</v>
      </c>
      <c r="L105" s="4">
        <v>-1473</v>
      </c>
      <c r="M105" s="4">
        <v>-2314</v>
      </c>
      <c r="N105" s="4">
        <v>-1416</v>
      </c>
      <c r="O105" s="4">
        <f>N105*(1+O40)</f>
        <v>-1520.3220920084777</v>
      </c>
      <c r="P105" s="4">
        <f>O105*(1+P40)</f>
        <v>-1635.9265051739185</v>
      </c>
      <c r="Q105" s="4">
        <f>P105*(1+Q40)</f>
        <v>-1764.3432692472268</v>
      </c>
      <c r="R105" s="4">
        <f>Q105*(1+R40)</f>
        <v>-1892.4666283739487</v>
      </c>
      <c r="S105" s="4">
        <f>R105*(1+S40)</f>
        <v>-1277.328057281831</v>
      </c>
      <c r="T105" s="4">
        <f t="shared" ref="T105:X105" si="148">S105*(1+T40)</f>
        <v>-1320.4751466438715</v>
      </c>
      <c r="U105" s="4">
        <f t="shared" si="148"/>
        <v>-1405.6391204403697</v>
      </c>
      <c r="V105" s="4">
        <f t="shared" si="148"/>
        <v>-1516.5348866556751</v>
      </c>
      <c r="W105" s="4">
        <f t="shared" si="148"/>
        <v>-1646.042117793136</v>
      </c>
      <c r="X105" s="4">
        <f t="shared" si="148"/>
        <v>-1778.0455918928499</v>
      </c>
      <c r="Z105" s="4" t="s">
        <v>37</v>
      </c>
      <c r="AA105" s="11">
        <v>0.08</v>
      </c>
    </row>
    <row r="106" spans="2:27" s="8" customFormat="1" x14ac:dyDescent="0.2">
      <c r="B106" s="8" t="s">
        <v>22</v>
      </c>
      <c r="L106" s="8">
        <f>SUM(L92:L105,L90)</f>
        <v>20933</v>
      </c>
      <c r="M106" s="8">
        <f t="shared" ref="M106:N106" si="149">SUM(M92:M105,M90)</f>
        <v>14071</v>
      </c>
      <c r="N106" s="8">
        <f t="shared" si="149"/>
        <v>21753</v>
      </c>
      <c r="O106" s="8">
        <f t="shared" ref="O106" si="150">SUM(O92:O105,O90)</f>
        <v>28352.576968697518</v>
      </c>
      <c r="P106" s="8">
        <f t="shared" ref="P106" si="151">SUM(P92:P105,P90)</f>
        <v>29798.153785255236</v>
      </c>
      <c r="Q106" s="8">
        <f t="shared" ref="Q106" si="152">SUM(Q92:Q105,Q90)</f>
        <v>31102.067837317758</v>
      </c>
      <c r="R106" s="8">
        <f t="shared" ref="R106" si="153">SUM(R92:R105,R90)</f>
        <v>33836.340885252561</v>
      </c>
      <c r="S106" s="8">
        <f t="shared" ref="S106:X106" si="154">SUM(S92:S105,S90)</f>
        <v>23904.988808244794</v>
      </c>
      <c r="T106" s="8">
        <f t="shared" si="154"/>
        <v>25069.740371322674</v>
      </c>
      <c r="U106" s="8">
        <f t="shared" si="154"/>
        <v>26977.248823544975</v>
      </c>
      <c r="V106" s="8">
        <f t="shared" si="154"/>
        <v>29361.124091430102</v>
      </c>
      <c r="W106" s="8">
        <f t="shared" si="154"/>
        <v>32107.665175539289</v>
      </c>
      <c r="X106" s="8">
        <f t="shared" si="154"/>
        <v>34948.347546020173</v>
      </c>
      <c r="Z106" s="8" t="s">
        <v>38</v>
      </c>
      <c r="AA106" s="8">
        <f>NPV(AA105,O113:DL113)+Main!P5-Main!P6</f>
        <v>272168.37177344557</v>
      </c>
    </row>
    <row r="107" spans="2:27" s="8" customFormat="1" x14ac:dyDescent="0.2">
      <c r="B107" s="8" t="s">
        <v>103</v>
      </c>
      <c r="L107" s="8">
        <v>-4388</v>
      </c>
      <c r="M107" s="8">
        <v>-3863</v>
      </c>
      <c r="N107" s="8">
        <v>-3372</v>
      </c>
      <c r="O107" s="8">
        <f>N107*1.08</f>
        <v>-3641.76</v>
      </c>
      <c r="P107" s="8">
        <f t="shared" ref="P107:R107" si="155">O107*1.08</f>
        <v>-3933.1008000000006</v>
      </c>
      <c r="Q107" s="8">
        <f t="shared" si="155"/>
        <v>-4247.748864000001</v>
      </c>
      <c r="R107" s="8">
        <f t="shared" si="155"/>
        <v>-4587.5687731200014</v>
      </c>
      <c r="S107" s="8">
        <f t="shared" ref="S107" si="156">R107*1.08</f>
        <v>-4954.5742749696019</v>
      </c>
      <c r="T107" s="8">
        <f t="shared" ref="T107" si="157">S107*1.08</f>
        <v>-5350.9402169671703</v>
      </c>
      <c r="U107" s="8">
        <f t="shared" ref="U107" si="158">T107*1.08</f>
        <v>-5779.015434324544</v>
      </c>
      <c r="V107" s="8">
        <f t="shared" ref="V107" si="159">U107*1.08</f>
        <v>-6241.3366690705079</v>
      </c>
      <c r="W107" s="8">
        <f t="shared" ref="W107" si="160">V107*1.08</f>
        <v>-6740.6436025961493</v>
      </c>
      <c r="X107" s="8">
        <f t="shared" ref="X107" si="161">W107*1.08</f>
        <v>-7279.8950908038414</v>
      </c>
      <c r="Z107" s="4" t="s">
        <v>0</v>
      </c>
      <c r="AA107" s="3">
        <f>AA106/Main!P3</f>
        <v>108.38909267685089</v>
      </c>
    </row>
    <row r="108" spans="2:27" x14ac:dyDescent="0.2">
      <c r="B108" s="4" t="s">
        <v>104</v>
      </c>
      <c r="L108" s="4">
        <v>-1204</v>
      </c>
      <c r="M108" s="4">
        <v>-955</v>
      </c>
      <c r="N108" s="4">
        <v>-519</v>
      </c>
      <c r="O108" s="4">
        <f>N108*(1+O40)</f>
        <v>-557.23669897768366</v>
      </c>
      <c r="P108" s="4">
        <f>O108*(1+P40)</f>
        <v>-599.60865549806761</v>
      </c>
      <c r="Q108" s="4">
        <f>P108*(1+Q40)</f>
        <v>-646.67666436392005</v>
      </c>
      <c r="R108" s="4">
        <f>Q108*(1+R40)</f>
        <v>-693.63713285740073</v>
      </c>
      <c r="S108" s="4">
        <f>R108*(1+S40)</f>
        <v>-468.17320743592541</v>
      </c>
      <c r="T108" s="4">
        <f t="shared" ref="T108:X108" si="162">S108*(1+T40)</f>
        <v>-483.9877126470123</v>
      </c>
      <c r="U108" s="4">
        <f t="shared" si="162"/>
        <v>-515.2024742292034</v>
      </c>
      <c r="V108" s="4">
        <f t="shared" si="162"/>
        <v>-555.84859193099976</v>
      </c>
      <c r="W108" s="4">
        <f t="shared" si="162"/>
        <v>-603.31628469960299</v>
      </c>
      <c r="X108" s="4">
        <f t="shared" si="162"/>
        <v>-651.69891397767617</v>
      </c>
      <c r="Z108" s="4" t="s">
        <v>39</v>
      </c>
      <c r="AA108" s="7">
        <f>AA107/Main!P2-1</f>
        <v>0.38960375226731925</v>
      </c>
    </row>
    <row r="109" spans="2:27" x14ac:dyDescent="0.2">
      <c r="B109" s="4" t="s">
        <v>105</v>
      </c>
      <c r="L109" s="4">
        <v>721</v>
      </c>
      <c r="M109" s="4">
        <f>1658+1145</f>
        <v>2803</v>
      </c>
      <c r="N109" s="4">
        <v>377</v>
      </c>
      <c r="O109" s="4">
        <f>N109*(1+O40)</f>
        <v>404.77502025931932</v>
      </c>
      <c r="P109" s="4">
        <f>O109*(1+P40)</f>
        <v>435.55387884927069</v>
      </c>
      <c r="Q109" s="4">
        <f>P109*(1+Q40)</f>
        <v>469.7439353857377</v>
      </c>
      <c r="R109" s="4">
        <f>Q109*(1+R40)</f>
        <v>503.85587492724483</v>
      </c>
      <c r="S109" s="4">
        <f>R109*(1+S40)</f>
        <v>340.0795745729169</v>
      </c>
      <c r="T109" s="4">
        <f t="shared" ref="T109:X109" si="163">S109*(1+T40)</f>
        <v>351.56718240447714</v>
      </c>
      <c r="U109" s="4">
        <f t="shared" si="163"/>
        <v>374.24148898730186</v>
      </c>
      <c r="V109" s="4">
        <f t="shared" si="163"/>
        <v>403.76670357993618</v>
      </c>
      <c r="W109" s="4">
        <f t="shared" si="163"/>
        <v>438.24708927119519</v>
      </c>
      <c r="X109" s="4">
        <f t="shared" si="163"/>
        <v>473.39208202231964</v>
      </c>
    </row>
    <row r="110" spans="2:27" x14ac:dyDescent="0.2">
      <c r="B110" s="4" t="s">
        <v>106</v>
      </c>
      <c r="L110" s="4">
        <v>0</v>
      </c>
      <c r="M110" s="4">
        <f>-10705-1327</f>
        <v>-12032</v>
      </c>
      <c r="N110" s="4">
        <f>-1344-1303-746-700</f>
        <v>-4093</v>
      </c>
      <c r="O110" s="4">
        <f>N110*(1+O40)</f>
        <v>-4394.5468379877821</v>
      </c>
      <c r="P110" s="4">
        <f>O110*(1+P40)</f>
        <v>-4728.7056396022936</v>
      </c>
      <c r="Q110" s="4">
        <f>P110*(1+Q40)</f>
        <v>-5099.8990120260587</v>
      </c>
      <c r="R110" s="4">
        <f>Q110*(1+R40)</f>
        <v>-5470.244286676957</v>
      </c>
      <c r="S110" s="4">
        <f>R110*(1+S40)</f>
        <v>-3692.1636571006597</v>
      </c>
      <c r="T110" s="4">
        <f t="shared" ref="T110:X110" si="164">S110*(1+T40)</f>
        <v>-3816.88190339927</v>
      </c>
      <c r="U110" s="4">
        <f t="shared" si="164"/>
        <v>-4063.0514971486109</v>
      </c>
      <c r="V110" s="4">
        <f t="shared" si="164"/>
        <v>-4383.5997818373435</v>
      </c>
      <c r="W110" s="4">
        <f t="shared" si="164"/>
        <v>-4757.9451893554415</v>
      </c>
      <c r="X110" s="4">
        <f t="shared" si="164"/>
        <v>-5139.5060788258716</v>
      </c>
    </row>
    <row r="111" spans="2:27" x14ac:dyDescent="0.2">
      <c r="B111" s="4" t="s">
        <v>48</v>
      </c>
      <c r="L111" s="4">
        <v>-89</v>
      </c>
      <c r="M111" s="4">
        <v>-36</v>
      </c>
      <c r="N111" s="4">
        <v>-127</v>
      </c>
      <c r="O111" s="4">
        <f>N111*(1+O40)</f>
        <v>-136.35657181149483</v>
      </c>
      <c r="P111" s="4">
        <f>O111*(1+P40)</f>
        <v>-146.72504672110711</v>
      </c>
      <c r="Q111" s="4">
        <f>P111*(1+Q40)</f>
        <v>-158.24265197344479</v>
      </c>
      <c r="R111" s="4">
        <f>Q111*(1+R40)</f>
        <v>-169.73394195161828</v>
      </c>
      <c r="S111" s="4">
        <f>R111*(1+S40)</f>
        <v>-114.56261530705689</v>
      </c>
      <c r="T111" s="4">
        <f t="shared" ref="T111:X111" si="165">S111*(1+T40)</f>
        <v>-118.43244606198566</v>
      </c>
      <c r="U111" s="4">
        <f t="shared" si="165"/>
        <v>-126.07074032198231</v>
      </c>
      <c r="V111" s="4">
        <f t="shared" si="165"/>
        <v>-136.01690014496523</v>
      </c>
      <c r="W111" s="4">
        <f t="shared" si="165"/>
        <v>-147.63230858737873</v>
      </c>
      <c r="X111" s="4">
        <f t="shared" si="165"/>
        <v>-159.47160322767795</v>
      </c>
    </row>
    <row r="112" spans="2:27" x14ac:dyDescent="0.2">
      <c r="B112" s="4" t="s">
        <v>107</v>
      </c>
      <c r="L112" s="4">
        <f>SUM(L107:L111)</f>
        <v>-4960</v>
      </c>
      <c r="M112" s="4">
        <f t="shared" ref="M112:N112" si="166">SUM(M107:M111)</f>
        <v>-14083</v>
      </c>
      <c r="N112" s="4">
        <f t="shared" si="166"/>
        <v>-7734</v>
      </c>
      <c r="O112" s="4">
        <f t="shared" ref="O112" si="167">SUM(O107:O111)</f>
        <v>-8325.1250885176414</v>
      </c>
      <c r="P112" s="4">
        <f t="shared" ref="P112" si="168">SUM(P107:P111)</f>
        <v>-8972.5862629721978</v>
      </c>
      <c r="Q112" s="4">
        <f t="shared" ref="Q112" si="169">SUM(Q107:Q111)</f>
        <v>-9682.8232569776865</v>
      </c>
      <c r="R112" s="4">
        <f t="shared" ref="R112" si="170">SUM(R107:R111)</f>
        <v>-10417.328259678732</v>
      </c>
      <c r="S112" s="4">
        <f t="shared" ref="S112:X112" si="171">SUM(S107:S111)</f>
        <v>-8889.3941802403278</v>
      </c>
      <c r="T112" s="4">
        <f t="shared" si="171"/>
        <v>-9418.6750966709606</v>
      </c>
      <c r="U112" s="4">
        <f t="shared" si="171"/>
        <v>-10109.098657037039</v>
      </c>
      <c r="V112" s="4">
        <f t="shared" si="171"/>
        <v>-10913.03523940388</v>
      </c>
      <c r="W112" s="4">
        <f t="shared" si="171"/>
        <v>-11811.290295967377</v>
      </c>
      <c r="X112" s="4">
        <f t="shared" si="171"/>
        <v>-12757.179604812747</v>
      </c>
    </row>
    <row r="113" spans="2:116" s="8" customFormat="1" x14ac:dyDescent="0.2">
      <c r="B113" s="8" t="s">
        <v>23</v>
      </c>
      <c r="L113" s="8">
        <f>L106+L107</f>
        <v>16545</v>
      </c>
      <c r="M113" s="8">
        <f t="shared" ref="M113:S113" si="172">M106+M107</f>
        <v>10208</v>
      </c>
      <c r="N113" s="8">
        <f t="shared" si="172"/>
        <v>18381</v>
      </c>
      <c r="O113" s="8">
        <f t="shared" si="172"/>
        <v>24710.816968697516</v>
      </c>
      <c r="P113" s="8">
        <f t="shared" si="172"/>
        <v>25865.052985255235</v>
      </c>
      <c r="Q113" s="8">
        <f t="shared" si="172"/>
        <v>26854.318973317757</v>
      </c>
      <c r="R113" s="8">
        <f t="shared" si="172"/>
        <v>29248.772112132559</v>
      </c>
      <c r="S113" s="8">
        <f t="shared" si="172"/>
        <v>18950.414533275194</v>
      </c>
      <c r="T113" s="8">
        <f t="shared" ref="T113:X113" si="173">T106+T107</f>
        <v>19718.800154355504</v>
      </c>
      <c r="U113" s="8">
        <f t="shared" si="173"/>
        <v>21198.23338922043</v>
      </c>
      <c r="V113" s="8">
        <f t="shared" si="173"/>
        <v>23119.787422359594</v>
      </c>
      <c r="W113" s="8">
        <f t="shared" si="173"/>
        <v>25367.02157294314</v>
      </c>
      <c r="X113" s="8">
        <f t="shared" si="173"/>
        <v>27668.452455216331</v>
      </c>
      <c r="Y113" s="8">
        <f t="shared" ref="Y113:BD113" si="174">X113*(1+$AA$104)</f>
        <v>27391.767930664169</v>
      </c>
      <c r="Z113" s="8">
        <f t="shared" si="174"/>
        <v>27117.850251357526</v>
      </c>
      <c r="AA113" s="8">
        <f t="shared" si="174"/>
        <v>26846.67174884395</v>
      </c>
      <c r="AB113" s="8">
        <f t="shared" si="174"/>
        <v>26578.205031355512</v>
      </c>
      <c r="AC113" s="8">
        <f t="shared" si="174"/>
        <v>26312.422981041957</v>
      </c>
      <c r="AD113" s="8">
        <f t="shared" si="174"/>
        <v>26049.298751231538</v>
      </c>
      <c r="AE113" s="8">
        <f t="shared" si="174"/>
        <v>25788.805763719221</v>
      </c>
      <c r="AF113" s="8">
        <f t="shared" si="174"/>
        <v>25530.917706082029</v>
      </c>
      <c r="AG113" s="8">
        <f t="shared" si="174"/>
        <v>25275.60852902121</v>
      </c>
      <c r="AH113" s="8">
        <f t="shared" si="174"/>
        <v>25022.852443730997</v>
      </c>
      <c r="AI113" s="8">
        <f t="shared" si="174"/>
        <v>24772.623919293688</v>
      </c>
      <c r="AJ113" s="8">
        <f t="shared" si="174"/>
        <v>24524.897680100752</v>
      </c>
      <c r="AK113" s="8">
        <f t="shared" si="174"/>
        <v>24279.648703299743</v>
      </c>
      <c r="AL113" s="8">
        <f t="shared" si="174"/>
        <v>24036.852216266747</v>
      </c>
      <c r="AM113" s="8">
        <f t="shared" si="174"/>
        <v>23796.483694104078</v>
      </c>
      <c r="AN113" s="8">
        <f t="shared" si="174"/>
        <v>23558.518857163035</v>
      </c>
      <c r="AO113" s="8">
        <f t="shared" si="174"/>
        <v>23322.933668591406</v>
      </c>
      <c r="AP113" s="8">
        <f t="shared" si="174"/>
        <v>23089.70433190549</v>
      </c>
      <c r="AQ113" s="8">
        <f t="shared" si="174"/>
        <v>22858.807288586435</v>
      </c>
      <c r="AR113" s="8">
        <f t="shared" si="174"/>
        <v>22630.21921570057</v>
      </c>
      <c r="AS113" s="8">
        <f t="shared" si="174"/>
        <v>22403.917023543563</v>
      </c>
      <c r="AT113" s="8">
        <f t="shared" si="174"/>
        <v>22179.877853308128</v>
      </c>
      <c r="AU113" s="8">
        <f t="shared" si="174"/>
        <v>21958.079074775047</v>
      </c>
      <c r="AV113" s="8">
        <f t="shared" si="174"/>
        <v>21738.498284027297</v>
      </c>
      <c r="AW113" s="8">
        <f t="shared" si="174"/>
        <v>21521.113301187022</v>
      </c>
      <c r="AX113" s="8">
        <f t="shared" si="174"/>
        <v>21305.902168175151</v>
      </c>
      <c r="AY113" s="8">
        <f t="shared" si="174"/>
        <v>21092.8431464934</v>
      </c>
      <c r="AZ113" s="8">
        <f t="shared" si="174"/>
        <v>20881.914715028466</v>
      </c>
      <c r="BA113" s="8">
        <f t="shared" si="174"/>
        <v>20673.095567878183</v>
      </c>
      <c r="BB113" s="8">
        <f t="shared" si="174"/>
        <v>20466.364612199402</v>
      </c>
      <c r="BC113" s="8">
        <f t="shared" si="174"/>
        <v>20261.700966077409</v>
      </c>
      <c r="BD113" s="8">
        <f t="shared" si="174"/>
        <v>20059.083956416634</v>
      </c>
      <c r="BE113" s="8">
        <f t="shared" ref="BE113:CJ113" si="175">BD113*(1+$AA$104)</f>
        <v>19858.493116852467</v>
      </c>
      <c r="BF113" s="8">
        <f t="shared" si="175"/>
        <v>19659.908185683944</v>
      </c>
      <c r="BG113" s="8">
        <f t="shared" si="175"/>
        <v>19463.309103827105</v>
      </c>
      <c r="BH113" s="8">
        <f t="shared" si="175"/>
        <v>19268.676012788834</v>
      </c>
      <c r="BI113" s="8">
        <f t="shared" si="175"/>
        <v>19075.989252660944</v>
      </c>
      <c r="BJ113" s="8">
        <f t="shared" si="175"/>
        <v>18885.229360134334</v>
      </c>
      <c r="BK113" s="8">
        <f t="shared" si="175"/>
        <v>18696.37706653299</v>
      </c>
      <c r="BL113" s="8">
        <f t="shared" si="175"/>
        <v>18509.41329586766</v>
      </c>
      <c r="BM113" s="8">
        <f t="shared" si="175"/>
        <v>18324.319162908982</v>
      </c>
      <c r="BN113" s="8">
        <f t="shared" si="175"/>
        <v>18141.07597127989</v>
      </c>
      <c r="BO113" s="8">
        <f t="shared" si="175"/>
        <v>17959.665211567091</v>
      </c>
      <c r="BP113" s="8">
        <f t="shared" si="175"/>
        <v>17780.068559451422</v>
      </c>
      <c r="BQ113" s="8">
        <f t="shared" si="175"/>
        <v>17602.267873856908</v>
      </c>
      <c r="BR113" s="8">
        <f t="shared" si="175"/>
        <v>17426.245195118339</v>
      </c>
      <c r="BS113" s="8">
        <f t="shared" si="175"/>
        <v>17251.982743167155</v>
      </c>
      <c r="BT113" s="8">
        <f t="shared" si="175"/>
        <v>17079.462915735483</v>
      </c>
      <c r="BU113" s="8">
        <f t="shared" si="175"/>
        <v>16908.668286578129</v>
      </c>
      <c r="BV113" s="8">
        <f t="shared" si="175"/>
        <v>16739.581603712348</v>
      </c>
      <c r="BW113" s="8">
        <f t="shared" si="175"/>
        <v>16572.185787675226</v>
      </c>
      <c r="BX113" s="8">
        <f t="shared" si="175"/>
        <v>16406.463929798472</v>
      </c>
      <c r="BY113" s="8">
        <f t="shared" si="175"/>
        <v>16242.399290500487</v>
      </c>
      <c r="BZ113" s="8">
        <f t="shared" si="175"/>
        <v>16079.975297595482</v>
      </c>
      <c r="CA113" s="8">
        <f t="shared" si="175"/>
        <v>15919.175544619527</v>
      </c>
      <c r="CB113" s="8">
        <f t="shared" si="175"/>
        <v>15759.983789173331</v>
      </c>
      <c r="CC113" s="8">
        <f t="shared" si="175"/>
        <v>15602.383951281598</v>
      </c>
      <c r="CD113" s="8">
        <f t="shared" si="175"/>
        <v>15446.360111768781</v>
      </c>
      <c r="CE113" s="8">
        <f t="shared" si="175"/>
        <v>15291.896510651093</v>
      </c>
      <c r="CF113" s="8">
        <f t="shared" si="175"/>
        <v>15138.977545544582</v>
      </c>
      <c r="CG113" s="8">
        <f t="shared" si="175"/>
        <v>14987.587770089136</v>
      </c>
      <c r="CH113" s="8">
        <f t="shared" si="175"/>
        <v>14837.711892388244</v>
      </c>
      <c r="CI113" s="8">
        <f t="shared" si="175"/>
        <v>14689.334773464361</v>
      </c>
      <c r="CJ113" s="8">
        <f t="shared" si="175"/>
        <v>14542.441425729718</v>
      </c>
      <c r="CK113" s="8">
        <f t="shared" ref="CK113:DL113" si="176">CJ113*(1+$AA$104)</f>
        <v>14397.017011472421</v>
      </c>
      <c r="CL113" s="8">
        <f t="shared" si="176"/>
        <v>14253.046841357696</v>
      </c>
      <c r="CM113" s="8">
        <f t="shared" si="176"/>
        <v>14110.516372944119</v>
      </c>
      <c r="CN113" s="8">
        <f t="shared" si="176"/>
        <v>13969.411209214677</v>
      </c>
      <c r="CO113" s="8">
        <f t="shared" si="176"/>
        <v>13829.71709712253</v>
      </c>
      <c r="CP113" s="8">
        <f t="shared" si="176"/>
        <v>13691.419926151304</v>
      </c>
      <c r="CQ113" s="8">
        <f t="shared" si="176"/>
        <v>13554.505726889791</v>
      </c>
      <c r="CR113" s="8">
        <f t="shared" si="176"/>
        <v>13418.960669620892</v>
      </c>
      <c r="CS113" s="8">
        <f t="shared" si="176"/>
        <v>13284.771062924683</v>
      </c>
      <c r="CT113" s="8">
        <f t="shared" si="176"/>
        <v>13151.923352295436</v>
      </c>
      <c r="CU113" s="8">
        <f t="shared" si="176"/>
        <v>13020.404118772482</v>
      </c>
      <c r="CV113" s="8">
        <f t="shared" si="176"/>
        <v>12890.200077584757</v>
      </c>
      <c r="CW113" s="8">
        <f t="shared" si="176"/>
        <v>12761.298076808909</v>
      </c>
      <c r="CX113" s="8">
        <f t="shared" si="176"/>
        <v>12633.685096040819</v>
      </c>
      <c r="CY113" s="8">
        <f t="shared" si="176"/>
        <v>12507.348245080411</v>
      </c>
      <c r="CZ113" s="8">
        <f t="shared" si="176"/>
        <v>12382.274762629608</v>
      </c>
      <c r="DA113" s="8">
        <f t="shared" si="176"/>
        <v>12258.452015003311</v>
      </c>
      <c r="DB113" s="8">
        <f t="shared" si="176"/>
        <v>12135.867494853279</v>
      </c>
      <c r="DC113" s="8">
        <f t="shared" si="176"/>
        <v>12014.508819904746</v>
      </c>
      <c r="DD113" s="8">
        <f t="shared" si="176"/>
        <v>11894.363731705698</v>
      </c>
      <c r="DE113" s="8">
        <f t="shared" si="176"/>
        <v>11775.420094388641</v>
      </c>
      <c r="DF113" s="8">
        <f t="shared" si="176"/>
        <v>11657.665893444755</v>
      </c>
      <c r="DG113" s="8">
        <f t="shared" si="176"/>
        <v>11541.089234510308</v>
      </c>
      <c r="DH113" s="8">
        <f t="shared" si="176"/>
        <v>11425.678342165204</v>
      </c>
      <c r="DI113" s="8">
        <f t="shared" si="176"/>
        <v>11311.421558743552</v>
      </c>
      <c r="DJ113" s="8">
        <f t="shared" si="176"/>
        <v>11198.307343156117</v>
      </c>
      <c r="DK113" s="8">
        <f t="shared" si="176"/>
        <v>11086.324269724555</v>
      </c>
      <c r="DL113" s="8">
        <f t="shared" si="176"/>
        <v>10975.46102702731</v>
      </c>
    </row>
  </sheetData>
  <hyperlinks>
    <hyperlink ref="A1" location="Main!A1" display="Main" xr:uid="{A44F0417-A7A6-4A13-AC33-A19210D87CA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2025-06-05T12:00:35Z</dcterms:modified>
</cp:coreProperties>
</file>