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908D3CF-35C7-4774-A6A8-6B9AB8B3D88D}" xr6:coauthVersionLast="47" xr6:coauthVersionMax="47" xr10:uidLastSave="{00000000-0000-0000-0000-000000000000}"/>
  <bookViews>
    <workbookView xWindow="6045" yWindow="780" windowWidth="17745" windowHeight="14640" xr2:uid="{B5255683-9904-4B96-B116-504FB2085B5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T9" i="2"/>
  <c r="U9" i="2"/>
  <c r="V9" i="2" s="1"/>
  <c r="R9" i="2"/>
  <c r="V32" i="2"/>
  <c r="V71" i="2"/>
  <c r="I9" i="2"/>
  <c r="J9" i="2" s="1"/>
  <c r="Q71" i="2"/>
  <c r="R71" i="2" s="1"/>
  <c r="S71" i="2" s="1"/>
  <c r="T71" i="2" s="1"/>
  <c r="U71" i="2" s="1"/>
  <c r="D5" i="1"/>
  <c r="O83" i="2"/>
  <c r="P83" i="2"/>
  <c r="N83" i="2"/>
  <c r="O91" i="2"/>
  <c r="P91" i="2"/>
  <c r="N91" i="2"/>
  <c r="P62" i="2"/>
  <c r="O62" i="2"/>
  <c r="O37" i="2"/>
  <c r="P36" i="2"/>
  <c r="O36" i="2"/>
  <c r="O35" i="2" s="1"/>
  <c r="P49" i="2"/>
  <c r="O49" i="2"/>
  <c r="R32" i="2"/>
  <c r="S32" i="2" s="1"/>
  <c r="T32" i="2" s="1"/>
  <c r="U32" i="2" s="1"/>
  <c r="P37" i="2"/>
  <c r="D8" i="1"/>
  <c r="P20" i="2"/>
  <c r="O20" i="2"/>
  <c r="N20" i="2"/>
  <c r="O18" i="2"/>
  <c r="P18" i="2"/>
  <c r="N18" i="2"/>
  <c r="O13" i="2"/>
  <c r="P13" i="2"/>
  <c r="N13" i="2"/>
  <c r="O9" i="2"/>
  <c r="P9" i="2"/>
  <c r="N9" i="2"/>
  <c r="N33" i="2" s="1"/>
  <c r="L35" i="2"/>
  <c r="M35" i="2"/>
  <c r="N35" i="2"/>
  <c r="G37" i="2"/>
  <c r="G36" i="2"/>
  <c r="M1" i="2"/>
  <c r="N1" i="2" s="1"/>
  <c r="O1" i="2" s="1"/>
  <c r="P1" i="2" s="1"/>
  <c r="Q1" i="2" s="1"/>
  <c r="R1" i="2" s="1"/>
  <c r="S1" i="2" s="1"/>
  <c r="T1" i="2" s="1"/>
  <c r="U1" i="2" s="1"/>
  <c r="V1" i="2" s="1"/>
  <c r="D6" i="1"/>
  <c r="D4" i="1"/>
  <c r="D7" i="1" s="1"/>
  <c r="V27" i="2" l="1"/>
  <c r="V13" i="2"/>
  <c r="V14" i="2"/>
  <c r="O92" i="2"/>
  <c r="P92" i="2"/>
  <c r="O33" i="2"/>
  <c r="P63" i="2"/>
  <c r="P64" i="2" s="1"/>
  <c r="P33" i="2"/>
  <c r="O63" i="2"/>
  <c r="O64" i="2" s="1"/>
  <c r="N92" i="2"/>
  <c r="P66" i="2"/>
  <c r="O66" i="2"/>
  <c r="N14" i="2"/>
  <c r="N30" i="2" s="1"/>
  <c r="G35" i="2"/>
  <c r="P27" i="2"/>
  <c r="P35" i="2"/>
  <c r="Q20" i="2" s="1"/>
  <c r="O27" i="2"/>
  <c r="Q27" i="2"/>
  <c r="Q17" i="2" s="1"/>
  <c r="N19" i="2"/>
  <c r="Q13" i="2"/>
  <c r="Q14" i="2" s="1"/>
  <c r="R27" i="2"/>
  <c r="R13" i="2"/>
  <c r="R14" i="2" s="1"/>
  <c r="P14" i="2"/>
  <c r="P30" i="2" s="1"/>
  <c r="O14" i="2"/>
  <c r="O30" i="2" s="1"/>
  <c r="Q15" i="2" l="1"/>
  <c r="Q16" i="2"/>
  <c r="R16" i="2" s="1"/>
  <c r="Q77" i="2"/>
  <c r="R77" i="2" s="1"/>
  <c r="Q73" i="2"/>
  <c r="R73" i="2" s="1"/>
  <c r="Q75" i="2"/>
  <c r="R75" i="2" s="1"/>
  <c r="Q74" i="2"/>
  <c r="R74" i="2" s="1"/>
  <c r="Q70" i="2"/>
  <c r="R70" i="2" s="1"/>
  <c r="Q82" i="2"/>
  <c r="R82" i="2" s="1"/>
  <c r="Q81" i="2"/>
  <c r="R81" i="2" s="1"/>
  <c r="Q80" i="2"/>
  <c r="R80" i="2" s="1"/>
  <c r="Q79" i="2"/>
  <c r="R79" i="2" s="1"/>
  <c r="Q78" i="2"/>
  <c r="R78" i="2" s="1"/>
  <c r="Q76" i="2"/>
  <c r="R76" i="2" s="1"/>
  <c r="Q72" i="2"/>
  <c r="R72" i="2" s="1"/>
  <c r="N21" i="2"/>
  <c r="N31" i="2"/>
  <c r="R91" i="2"/>
  <c r="R15" i="2"/>
  <c r="R17" i="2"/>
  <c r="O19" i="2"/>
  <c r="Q18" i="2"/>
  <c r="P19" i="2"/>
  <c r="Q19" i="2" l="1"/>
  <c r="Q33" i="2"/>
  <c r="O21" i="2"/>
  <c r="O23" i="2" s="1"/>
  <c r="O31" i="2"/>
  <c r="N28" i="2"/>
  <c r="N23" i="2"/>
  <c r="P21" i="2"/>
  <c r="P28" i="2" s="1"/>
  <c r="P31" i="2"/>
  <c r="O28" i="2"/>
  <c r="R18" i="2"/>
  <c r="S13" i="2"/>
  <c r="S14" i="2" s="1"/>
  <c r="S27" i="2"/>
  <c r="S70" i="2" s="1"/>
  <c r="P23" i="2" l="1"/>
  <c r="P25" i="2"/>
  <c r="P68" i="2"/>
  <c r="P32" i="2" s="1"/>
  <c r="N25" i="2"/>
  <c r="N68" i="2"/>
  <c r="N32" i="2" s="1"/>
  <c r="O25" i="2"/>
  <c r="O68" i="2"/>
  <c r="O32" i="2" s="1"/>
  <c r="Q21" i="2"/>
  <c r="Q22" i="2" s="1"/>
  <c r="Q23" i="2" s="1"/>
  <c r="Q31" i="2"/>
  <c r="S78" i="2"/>
  <c r="S91" i="2"/>
  <c r="S73" i="2"/>
  <c r="S75" i="2"/>
  <c r="T75" i="2" s="1"/>
  <c r="S76" i="2"/>
  <c r="T76" i="2" s="1"/>
  <c r="S81" i="2"/>
  <c r="S74" i="2"/>
  <c r="T74" i="2" s="1"/>
  <c r="S72" i="2"/>
  <c r="S82" i="2"/>
  <c r="R19" i="2"/>
  <c r="R31" i="2" s="1"/>
  <c r="R33" i="2"/>
  <c r="S79" i="2"/>
  <c r="S80" i="2"/>
  <c r="S77" i="2"/>
  <c r="S16" i="2"/>
  <c r="S17" i="2"/>
  <c r="S15" i="2"/>
  <c r="T27" i="2"/>
  <c r="T70" i="2" s="1"/>
  <c r="T13" i="2"/>
  <c r="T14" i="2" s="1"/>
  <c r="T73" i="2" l="1"/>
  <c r="T78" i="2"/>
  <c r="Q68" i="2"/>
  <c r="Q83" i="2" s="1"/>
  <c r="Q92" i="2" s="1"/>
  <c r="Q25" i="2"/>
  <c r="Q35" i="2"/>
  <c r="R20" i="2" s="1"/>
  <c r="R21" i="2" s="1"/>
  <c r="R22" i="2" s="1"/>
  <c r="R23" i="2" s="1"/>
  <c r="R68" i="2" s="1"/>
  <c r="R83" i="2" s="1"/>
  <c r="R92" i="2" s="1"/>
  <c r="T72" i="2"/>
  <c r="T82" i="2"/>
  <c r="T77" i="2"/>
  <c r="T80" i="2"/>
  <c r="T79" i="2"/>
  <c r="T91" i="2"/>
  <c r="T81" i="2"/>
  <c r="T15" i="2"/>
  <c r="T17" i="2"/>
  <c r="U27" i="2"/>
  <c r="U70" i="2" s="1"/>
  <c r="V70" i="2" s="1"/>
  <c r="U13" i="2"/>
  <c r="U14" i="2" s="1"/>
  <c r="S18" i="2"/>
  <c r="T16" i="2"/>
  <c r="U91" i="2" l="1"/>
  <c r="V91" i="2" s="1"/>
  <c r="U74" i="2"/>
  <c r="V74" i="2" s="1"/>
  <c r="U81" i="2"/>
  <c r="V81" i="2" s="1"/>
  <c r="U73" i="2"/>
  <c r="V73" i="2" s="1"/>
  <c r="U75" i="2"/>
  <c r="V75" i="2" s="1"/>
  <c r="U76" i="2"/>
  <c r="V76" i="2" s="1"/>
  <c r="U79" i="2"/>
  <c r="V79" i="2" s="1"/>
  <c r="U16" i="2"/>
  <c r="V16" i="2" s="1"/>
  <c r="S19" i="2"/>
  <c r="S33" i="2"/>
  <c r="U78" i="2"/>
  <c r="V78" i="2" s="1"/>
  <c r="R25" i="2"/>
  <c r="U82" i="2"/>
  <c r="V82" i="2" s="1"/>
  <c r="U80" i="2"/>
  <c r="V80" i="2" s="1"/>
  <c r="R35" i="2"/>
  <c r="S20" i="2" s="1"/>
  <c r="U77" i="2"/>
  <c r="V77" i="2" s="1"/>
  <c r="U72" i="2"/>
  <c r="V72" i="2" s="1"/>
  <c r="U15" i="2"/>
  <c r="V15" i="2" s="1"/>
  <c r="U17" i="2"/>
  <c r="V17" i="2" s="1"/>
  <c r="T18" i="2"/>
  <c r="V18" i="2" l="1"/>
  <c r="U18" i="2"/>
  <c r="U19" i="2" s="1"/>
  <c r="U31" i="2" s="1"/>
  <c r="T19" i="2"/>
  <c r="T31" i="2" s="1"/>
  <c r="T33" i="2"/>
  <c r="S21" i="2"/>
  <c r="S22" i="2" s="1"/>
  <c r="S23" i="2" s="1"/>
  <c r="S31" i="2"/>
  <c r="V19" i="2" l="1"/>
  <c r="V31" i="2" s="1"/>
  <c r="V33" i="2"/>
  <c r="U33" i="2"/>
  <c r="S68" i="2"/>
  <c r="S83" i="2" s="1"/>
  <c r="S92" i="2" s="1"/>
  <c r="S25" i="2"/>
  <c r="S35" i="2"/>
  <c r="T20" i="2" s="1"/>
  <c r="T21" i="2" s="1"/>
  <c r="T22" i="2" s="1"/>
  <c r="T23" i="2" s="1"/>
  <c r="T68" i="2" s="1"/>
  <c r="T83" i="2" s="1"/>
  <c r="T92" i="2" s="1"/>
  <c r="T35" i="2" l="1"/>
  <c r="T25" i="2"/>
  <c r="U20" i="2"/>
  <c r="U21" i="2" s="1"/>
  <c r="U22" i="2" s="1"/>
  <c r="U23" i="2" s="1"/>
  <c r="U68" i="2" s="1"/>
  <c r="U83" i="2" s="1"/>
  <c r="U92" i="2" s="1"/>
  <c r="U25" i="2" l="1"/>
  <c r="U35" i="2"/>
  <c r="V20" i="2" l="1"/>
  <c r="V21" i="2" s="1"/>
  <c r="V22" i="2" l="1"/>
  <c r="V23" i="2" s="1"/>
  <c r="V68" i="2" l="1"/>
  <c r="V83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C92" i="2" s="1"/>
  <c r="DD92" i="2" s="1"/>
  <c r="DE92" i="2" s="1"/>
  <c r="DF92" i="2" s="1"/>
  <c r="DG92" i="2" s="1"/>
  <c r="DH92" i="2" s="1"/>
  <c r="DI92" i="2" s="1"/>
  <c r="DJ92" i="2" s="1"/>
  <c r="Y88" i="2" s="1"/>
  <c r="Y89" i="2" s="1"/>
  <c r="Y90" i="2" s="1"/>
  <c r="V25" i="2"/>
  <c r="V35" i="2"/>
</calcChain>
</file>

<file path=xl/sharedStrings.xml><?xml version="1.0" encoding="utf-8"?>
<sst xmlns="http://schemas.openxmlformats.org/spreadsheetml/2006/main" count="108" uniqueCount="93">
  <si>
    <t>ADBE</t>
  </si>
  <si>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</si>
  <si>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</si>
  <si>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</si>
  <si>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</si>
  <si>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</si>
  <si>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</si>
  <si>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</si>
  <si>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</si>
  <si>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</si>
  <si>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</si>
  <si>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</si>
  <si>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</si>
  <si>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</si>
  <si>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</si>
  <si>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</si>
  <si>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</si>
  <si>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</si>
  <si>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</si>
  <si>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</si>
  <si>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</si>
  <si>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Interest</t>
  </si>
  <si>
    <t>Pretax Income</t>
  </si>
  <si>
    <t>Tax</t>
  </si>
  <si>
    <t>Net Income</t>
  </si>
  <si>
    <t>EPS</t>
  </si>
  <si>
    <t>Tax Rate</t>
  </si>
  <si>
    <t>Gross Margin</t>
  </si>
  <si>
    <t>CFFO</t>
  </si>
  <si>
    <t>FCF</t>
  </si>
  <si>
    <t>Net Cash</t>
  </si>
  <si>
    <t>Q125</t>
  </si>
  <si>
    <t>ROIC</t>
  </si>
  <si>
    <t>Maturity</t>
  </si>
  <si>
    <t>Discount</t>
  </si>
  <si>
    <t>NPV</t>
  </si>
  <si>
    <t>Diff</t>
  </si>
  <si>
    <t>FCF Margin</t>
  </si>
  <si>
    <t>Revenue y/y</t>
  </si>
  <si>
    <t>OPEX Margin</t>
  </si>
  <si>
    <t>Operating Margin</t>
  </si>
  <si>
    <t>Short-term Investments</t>
  </si>
  <si>
    <t>AR</t>
  </si>
  <si>
    <t>Prepaid Expenses</t>
  </si>
  <si>
    <t>PP&amp;E</t>
  </si>
  <si>
    <t>Operating Lease Assets</t>
  </si>
  <si>
    <t>GW</t>
  </si>
  <si>
    <t>Other Intangibles</t>
  </si>
  <si>
    <t>DIT</t>
  </si>
  <si>
    <t>Other Assets</t>
  </si>
  <si>
    <t>Assets</t>
  </si>
  <si>
    <t>Trade Payables</t>
  </si>
  <si>
    <t>Accrued Expenses</t>
  </si>
  <si>
    <t>Deferred Revenue</t>
  </si>
  <si>
    <t>ITP</t>
  </si>
  <si>
    <t>Operating Lease Liabilities</t>
  </si>
  <si>
    <t>Cur. Debt</t>
  </si>
  <si>
    <t>LT Debt</t>
  </si>
  <si>
    <t>LT Deferred Revenue</t>
  </si>
  <si>
    <t>Other Liabilities</t>
  </si>
  <si>
    <t>SE</t>
  </si>
  <si>
    <t>Liabilities</t>
  </si>
  <si>
    <t>L+SE</t>
  </si>
  <si>
    <t>Main</t>
  </si>
  <si>
    <t>Q124</t>
  </si>
  <si>
    <t>Q224</t>
  </si>
  <si>
    <t>Q324</t>
  </si>
  <si>
    <t>Q425</t>
  </si>
  <si>
    <t>Q225</t>
  </si>
  <si>
    <t>Q325</t>
  </si>
  <si>
    <t>LT ITP</t>
  </si>
  <si>
    <t>DSO</t>
  </si>
  <si>
    <t>Model NI</t>
  </si>
  <si>
    <t>Reported NI</t>
  </si>
  <si>
    <t>D&amp;A</t>
  </si>
  <si>
    <t>Stock-based Comp</t>
  </si>
  <si>
    <t>Reduction of OL Assets</t>
  </si>
  <si>
    <t>Lease Asset Impairments</t>
  </si>
  <si>
    <t>Unrealized Losses on Investments</t>
  </si>
  <si>
    <t>Other Non-cash</t>
  </si>
  <si>
    <t>AP</t>
  </si>
  <si>
    <t>DR</t>
  </si>
  <si>
    <t>Maturity of ST Investments</t>
  </si>
  <si>
    <t>Purchase of ST Investments</t>
  </si>
  <si>
    <t>Sale of ST Investments</t>
  </si>
  <si>
    <t>Acquisitions</t>
  </si>
  <si>
    <t>Purchase of PP&amp;E</t>
  </si>
  <si>
    <t>Purchase LT Investments</t>
  </si>
  <si>
    <t>Sale of LT Investments</t>
  </si>
  <si>
    <t>CAPEX</t>
  </si>
  <si>
    <t>Digital Media</t>
  </si>
  <si>
    <t>Digital Experience</t>
  </si>
  <si>
    <t>DE 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</si>
</sst>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0" fontId="2" fillId="0" borderId="0" xfId="0" applyFont="1"/>
    <xf numFmtId="0" fontId="1" fillId="0" borderId="0" xfId="0" applyFont="1"/>
    <xf numFmtId="164" fontId="2" fillId="0" borderId="0" xfId="0" applyNumberFormat="1" applyFont="1"/>
    <xf numFmtId="3" fontId="4" fillId="0" borderId="0" xfId="1" applyNumberFormat="1" applyFo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28575</xdr:rowOff>
    </xdr:from>
    <xdr:to>
      <xdr:col>16</xdr:col>
      <xdr:colOff>19050</xdr:colOff>
      <xdr:row>98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10182225" y="28575"/>
          <a:ext cx="9525" cy="1794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19050</xdr:rowOff>
    </xdr:from>
    <xdr:to>
      <xdr:col>7</xdr:col>
      <xdr:colOff>19050</xdr:colOff>
      <xdr:row>70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F5E25C-17F0-4F8D-1774-386610D8C3FE}"/>
            </a:ext>
          </a:extLst>
        </xdr:cNvPr>
        <xdr:cNvCxnSpPr/>
      </xdr:nvCxnSpPr>
      <xdr:spPr>
        <a:xfrm flipH="1">
          <a:off x="4695825" y="19050"/>
          <a:ext cx="9525" cy="126396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E8"/>
  <sheetViews>
    <sheetView tabSelected="1" zoomScale="250" zoomScaleNormal="250" workbookViewId="0">
      <selection activeCell="D3" sqref="D3"/>
    </sheetView>
  </sheetViews>
  <sheetFormatPr defaultRowHeight="14.25" x14ac:dyDescent="0.2"/>
  <cols>
    <col min="1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5">
        <v>413</v>
      </c>
    </row>
    <row r="3" spans="1:5" x14ac:dyDescent="0.2">
      <c r="C3" s="9" t="s">
        <v>2</v>
      </c>
      <c r="D3" s="1">
        <v>426.2</v>
      </c>
      <c r="E3" s="9" t="s">
        <v>31</v>
      </c>
    </row>
    <row r="4" spans="1:5" x14ac:dyDescent="0.2">
      <c r="C4" s="9" t="s">
        <v>3</v>
      </c>
      <c r="D4" s="1">
        <f>D3*D2</f>
        <v>176020.6</v>
      </c>
    </row>
    <row r="5" spans="1:5" x14ac:dyDescent="0.2">
      <c r="C5" s="9" t="s">
        <v>4</v>
      </c>
      <c r="D5" s="1">
        <f>6758+677</f>
        <v>7435</v>
      </c>
      <c r="E5" s="9" t="s">
        <v>31</v>
      </c>
    </row>
    <row r="6" spans="1:5" x14ac:dyDescent="0.2">
      <c r="C6" s="9" t="s">
        <v>5</v>
      </c>
      <c r="D6" s="1">
        <f>6155+143+567+334+498</f>
        <v>7697</v>
      </c>
      <c r="E6" s="9" t="s">
        <v>31</v>
      </c>
    </row>
    <row r="7" spans="1:5" x14ac:dyDescent="0.2">
      <c r="C7" s="9" t="s">
        <v>6</v>
      </c>
      <c r="D7" s="1">
        <f>D4+D6-D5</f>
        <v>176282.6</v>
      </c>
    </row>
    <row r="8" spans="1:5" x14ac:dyDescent="0.2">
      <c r="D8" s="9">
        <f>D2/(1.1*4*model!G25)</f>
        <v>22.672375933245497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DJ93"/>
  <sheetViews>
    <sheetView workbookViewId="0">
      <pane xSplit="2" ySplit="1" topLeftCell="N67" activePane="bottomRight" state="frozen"/>
      <selection pane="topRight" activeCell="B1" sqref="B1"/>
      <selection pane="bottomLeft" activeCell="A2" sqref="A2"/>
      <selection pane="bottomRight" activeCell="W86" sqref="W86"/>
    </sheetView>
  </sheetViews>
  <sheetFormatPr defaultRowHeight="14.25" x14ac:dyDescent="0.2"/>
  <cols>
    <col min="1" max="1" width="5" style="1" customWidth="1"/>
    <col min="2" max="2" width="19.5703125" style="1" customWidth="1"/>
    <col min="3" max="6" width="9.140625" style="9"/>
    <col min="7" max="7" width="9.140625" style="1"/>
    <col min="8" max="8" width="9.5703125" style="9" bestFit="1" customWidth="1"/>
    <col min="9" max="10" width="9.140625" style="9"/>
    <col min="11" max="16" width="9.140625" style="1"/>
    <col min="17" max="17" width="9.5703125" style="1" bestFit="1" customWidth="1"/>
    <col min="18" max="16384" width="9.140625" style="1"/>
  </cols>
  <sheetData>
    <row r="1" spans="1:26" x14ac:dyDescent="0.2">
      <c r="A1" s="11" t="s">
        <v>63</v>
      </c>
      <c r="C1" s="9" t="s">
        <v>64</v>
      </c>
      <c r="D1" s="9" t="s">
        <v>65</v>
      </c>
      <c r="E1" s="9" t="s">
        <v>66</v>
      </c>
      <c r="F1" s="9" t="s">
        <v>67</v>
      </c>
      <c r="G1" s="1" t="s">
        <v>31</v>
      </c>
      <c r="H1" s="9" t="s">
        <v>68</v>
      </c>
      <c r="I1" s="9" t="s">
        <v>69</v>
      </c>
      <c r="J1" s="9" t="s">
        <v>67</v>
      </c>
      <c r="L1" s="2">
        <v>2020</v>
      </c>
      <c r="M1" s="2">
        <f>L1+1</f>
        <v>2021</v>
      </c>
      <c r="N1" s="2">
        <f t="shared" ref="N1:U1" si="0">M1+1</f>
        <v>2022</v>
      </c>
      <c r="O1" s="2">
        <f t="shared" si="0"/>
        <v>2023</v>
      </c>
      <c r="P1" s="2">
        <f t="shared" si="0"/>
        <v>2024</v>
      </c>
      <c r="Q1" s="2">
        <f t="shared" si="0"/>
        <v>2025</v>
      </c>
      <c r="R1" s="2">
        <f t="shared" si="0"/>
        <v>2026</v>
      </c>
      <c r="S1" s="2">
        <f t="shared" si="0"/>
        <v>2027</v>
      </c>
      <c r="T1" s="2">
        <f t="shared" si="0"/>
        <v>2028</v>
      </c>
      <c r="U1" s="2">
        <f t="shared" si="0"/>
        <v>2029</v>
      </c>
      <c r="V1" s="2">
        <f t="shared" ref="V1" si="1">U1+1</f>
        <v>2030</v>
      </c>
      <c r="W1" s="2"/>
      <c r="X1" s="2"/>
      <c r="Y1" s="2"/>
      <c r="Z1" s="2"/>
    </row>
    <row r="2" spans="1:26" x14ac:dyDescent="0.2">
      <c r="A2" s="11"/>
      <c r="B2" s="1" t="s">
        <v>90</v>
      </c>
      <c r="H2" s="1">
        <v>4300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1"/>
      <c r="B3" s="1" t="s">
        <v>91</v>
      </c>
      <c r="H3" s="1">
        <v>1450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1"/>
      <c r="B4" s="1" t="s">
        <v>92</v>
      </c>
      <c r="H4" s="1">
        <v>1320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1"/>
      <c r="H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B6" s="1" t="s">
        <v>7</v>
      </c>
      <c r="H6" s="1"/>
      <c r="I6" s="1"/>
      <c r="J6" s="1"/>
      <c r="N6" s="1">
        <v>16388</v>
      </c>
      <c r="O6" s="1">
        <v>18284</v>
      </c>
      <c r="P6" s="1">
        <v>20521</v>
      </c>
    </row>
    <row r="7" spans="1:26" x14ac:dyDescent="0.2">
      <c r="B7" s="1" t="s">
        <v>8</v>
      </c>
      <c r="N7" s="1">
        <v>532</v>
      </c>
      <c r="O7" s="1">
        <v>460</v>
      </c>
      <c r="P7" s="1">
        <v>386</v>
      </c>
    </row>
    <row r="8" spans="1:26" x14ac:dyDescent="0.2">
      <c r="B8" s="1" t="s">
        <v>9</v>
      </c>
      <c r="H8" s="5"/>
      <c r="N8" s="1">
        <v>686</v>
      </c>
      <c r="O8" s="1">
        <v>665</v>
      </c>
      <c r="P8" s="1">
        <v>598</v>
      </c>
    </row>
    <row r="9" spans="1:26" s="3" customFormat="1" ht="15" x14ac:dyDescent="0.25">
      <c r="B9" s="3" t="s">
        <v>10</v>
      </c>
      <c r="G9" s="1">
        <v>5710</v>
      </c>
      <c r="H9" s="1">
        <v>5800</v>
      </c>
      <c r="I9" s="1">
        <f>H9*1.02</f>
        <v>5916</v>
      </c>
      <c r="J9" s="1">
        <f>I9*1.02</f>
        <v>6034.32</v>
      </c>
      <c r="N9" s="3">
        <f>SUM(N6:N8)</f>
        <v>17606</v>
      </c>
      <c r="O9" s="3">
        <f t="shared" ref="O9:P9" si="2">SUM(O6:O8)</f>
        <v>19409</v>
      </c>
      <c r="P9" s="3">
        <f t="shared" si="2"/>
        <v>21505</v>
      </c>
      <c r="Q9" s="3">
        <v>23400</v>
      </c>
      <c r="R9" s="3">
        <f>Q9*1.11</f>
        <v>25974.000000000004</v>
      </c>
      <c r="S9" s="3">
        <f t="shared" ref="S9:V9" si="3">R9*1.11</f>
        <v>28831.140000000007</v>
      </c>
      <c r="T9" s="3">
        <f t="shared" si="3"/>
        <v>32002.56540000001</v>
      </c>
      <c r="U9" s="3">
        <f t="shared" si="3"/>
        <v>35522.847594000013</v>
      </c>
      <c r="V9" s="3">
        <f t="shared" si="3"/>
        <v>39430.360829340018</v>
      </c>
    </row>
    <row r="10" spans="1:26" x14ac:dyDescent="0.2">
      <c r="B10" s="1" t="s">
        <v>11</v>
      </c>
      <c r="I10" s="1"/>
      <c r="N10" s="1">
        <v>1646</v>
      </c>
      <c r="O10" s="1">
        <v>1822</v>
      </c>
      <c r="P10" s="1">
        <v>1799</v>
      </c>
    </row>
    <row r="11" spans="1:26" x14ac:dyDescent="0.2">
      <c r="B11" s="1" t="s">
        <v>12</v>
      </c>
      <c r="N11" s="1">
        <v>35</v>
      </c>
      <c r="O11" s="1">
        <v>29</v>
      </c>
      <c r="P11" s="1">
        <v>25</v>
      </c>
    </row>
    <row r="12" spans="1:26" x14ac:dyDescent="0.2">
      <c r="B12" s="1" t="s">
        <v>13</v>
      </c>
      <c r="N12" s="1">
        <v>484</v>
      </c>
      <c r="O12" s="1">
        <v>503</v>
      </c>
      <c r="P12" s="1">
        <v>534</v>
      </c>
    </row>
    <row r="13" spans="1:26" x14ac:dyDescent="0.2">
      <c r="B13" s="1" t="s">
        <v>14</v>
      </c>
      <c r="N13" s="1">
        <f>SUM(N10:N12)</f>
        <v>2165</v>
      </c>
      <c r="O13" s="1">
        <f t="shared" ref="O13:P13" si="4">SUM(O10:O12)</f>
        <v>2354</v>
      </c>
      <c r="P13" s="1">
        <f t="shared" si="4"/>
        <v>2358</v>
      </c>
      <c r="Q13" s="1">
        <f>Q9*(1-Q30)</f>
        <v>2456.9999999999995</v>
      </c>
      <c r="R13" s="1">
        <f t="shared" ref="R13:U13" si="5">R9*(1-R30)</f>
        <v>2727.27</v>
      </c>
      <c r="S13" s="1">
        <f t="shared" si="5"/>
        <v>3027.2697000000003</v>
      </c>
      <c r="T13" s="1">
        <f t="shared" si="5"/>
        <v>3360.2693670000003</v>
      </c>
      <c r="U13" s="1">
        <f t="shared" si="5"/>
        <v>3729.8989973700009</v>
      </c>
      <c r="V13" s="1">
        <f t="shared" ref="V13" si="6">V9*(1-V30)</f>
        <v>4140.1878870807013</v>
      </c>
    </row>
    <row r="14" spans="1:26" x14ac:dyDescent="0.2">
      <c r="B14" s="1" t="s">
        <v>15</v>
      </c>
      <c r="N14" s="1">
        <f>N9-N13</f>
        <v>15441</v>
      </c>
      <c r="O14" s="1">
        <f t="shared" ref="O14:P14" si="7">O9-O13</f>
        <v>17055</v>
      </c>
      <c r="P14" s="1">
        <f t="shared" si="7"/>
        <v>19147</v>
      </c>
      <c r="Q14" s="1">
        <f t="shared" ref="Q14" si="8">Q9-Q13</f>
        <v>20943</v>
      </c>
      <c r="R14" s="1">
        <f t="shared" ref="R14" si="9">R9-R13</f>
        <v>23246.730000000003</v>
      </c>
      <c r="S14" s="1">
        <f t="shared" ref="S14" si="10">S9-S13</f>
        <v>25803.870300000006</v>
      </c>
      <c r="T14" s="1">
        <f t="shared" ref="T14" si="11">T9-T13</f>
        <v>28642.29603300001</v>
      </c>
      <c r="U14" s="1">
        <f t="shared" ref="U14:V14" si="12">U9-U13</f>
        <v>31792.948596630013</v>
      </c>
      <c r="V14" s="1">
        <f t="shared" si="12"/>
        <v>35290.17294225932</v>
      </c>
    </row>
    <row r="15" spans="1:26" x14ac:dyDescent="0.2">
      <c r="B15" s="1" t="s">
        <v>16</v>
      </c>
      <c r="N15" s="1">
        <v>2987</v>
      </c>
      <c r="O15" s="1">
        <v>3473</v>
      </c>
      <c r="P15" s="1">
        <v>3944</v>
      </c>
      <c r="Q15" s="1">
        <f>P15*(1+Q27)</f>
        <v>4291.541501976285</v>
      </c>
      <c r="R15" s="1">
        <f t="shared" ref="R15:V15" si="13">Q15*(1+R27)</f>
        <v>4763.6110671936767</v>
      </c>
      <c r="S15" s="1">
        <f t="shared" si="13"/>
        <v>5287.6082845849814</v>
      </c>
      <c r="T15" s="1">
        <f t="shared" si="13"/>
        <v>5869.2451958893298</v>
      </c>
      <c r="U15" s="1">
        <f t="shared" si="13"/>
        <v>6514.862167437157</v>
      </c>
      <c r="V15" s="1">
        <f t="shared" si="13"/>
        <v>7231.4970058552453</v>
      </c>
    </row>
    <row r="16" spans="1:26" x14ac:dyDescent="0.2">
      <c r="B16" s="1" t="s">
        <v>17</v>
      </c>
      <c r="N16" s="1">
        <v>4968</v>
      </c>
      <c r="O16" s="1">
        <v>5351</v>
      </c>
      <c r="P16" s="1">
        <v>5764</v>
      </c>
      <c r="Q16" s="1">
        <f>P16*(1+Q27)</f>
        <v>6271.9181585677752</v>
      </c>
      <c r="R16" s="1">
        <f t="shared" ref="R16:V16" si="14">Q16*(1+R27)</f>
        <v>6961.8291560102307</v>
      </c>
      <c r="S16" s="1">
        <f t="shared" si="14"/>
        <v>7727.6303631713563</v>
      </c>
      <c r="T16" s="1">
        <f t="shared" si="14"/>
        <v>8577.6697031202057</v>
      </c>
      <c r="U16" s="1">
        <f t="shared" si="14"/>
        <v>9521.2133704634289</v>
      </c>
      <c r="V16" s="1">
        <f t="shared" si="14"/>
        <v>10568.546841214407</v>
      </c>
    </row>
    <row r="17" spans="2:24" x14ac:dyDescent="0.2">
      <c r="B17" s="1" t="s">
        <v>18</v>
      </c>
      <c r="N17" s="1">
        <v>1219</v>
      </c>
      <c r="O17" s="1">
        <v>1413</v>
      </c>
      <c r="P17" s="1">
        <v>1529</v>
      </c>
      <c r="Q17" s="1">
        <f>P17*(1+Q27)</f>
        <v>1663.7340153452685</v>
      </c>
      <c r="R17" s="1">
        <f t="shared" ref="R17:V17" si="15">Q17*(1+R27)</f>
        <v>1846.7447570332481</v>
      </c>
      <c r="S17" s="1">
        <f t="shared" si="15"/>
        <v>2049.8866803069054</v>
      </c>
      <c r="T17" s="1">
        <f t="shared" si="15"/>
        <v>2275.374215140665</v>
      </c>
      <c r="U17" s="1">
        <f t="shared" si="15"/>
        <v>2525.6653788061385</v>
      </c>
      <c r="V17" s="1">
        <f t="shared" si="15"/>
        <v>2803.488570474814</v>
      </c>
    </row>
    <row r="18" spans="2:24" x14ac:dyDescent="0.2">
      <c r="B18" s="1" t="s">
        <v>19</v>
      </c>
      <c r="N18" s="1">
        <f>SUM(N15:N17)</f>
        <v>9174</v>
      </c>
      <c r="O18" s="1">
        <f t="shared" ref="O18:U18" si="16">SUM(O15:O17)</f>
        <v>10237</v>
      </c>
      <c r="P18" s="1">
        <f t="shared" si="16"/>
        <v>11237</v>
      </c>
      <c r="Q18" s="1">
        <f t="shared" si="16"/>
        <v>12227.193675889328</v>
      </c>
      <c r="R18" s="1">
        <f t="shared" si="16"/>
        <v>13572.184980237154</v>
      </c>
      <c r="S18" s="1">
        <f t="shared" si="16"/>
        <v>15065.125328063243</v>
      </c>
      <c r="T18" s="1">
        <f t="shared" si="16"/>
        <v>16722.2891141502</v>
      </c>
      <c r="U18" s="1">
        <f t="shared" si="16"/>
        <v>18561.740916706724</v>
      </c>
      <c r="V18" s="1">
        <f t="shared" ref="V18" si="17">SUM(V15:V17)</f>
        <v>20603.532417544469</v>
      </c>
    </row>
    <row r="19" spans="2:24" x14ac:dyDescent="0.2">
      <c r="B19" s="1" t="s">
        <v>20</v>
      </c>
      <c r="N19" s="1">
        <f>N14-N18</f>
        <v>6267</v>
      </c>
      <c r="O19" s="1">
        <f t="shared" ref="O19:U19" si="18">O14-O18</f>
        <v>6818</v>
      </c>
      <c r="P19" s="1">
        <f t="shared" si="18"/>
        <v>7910</v>
      </c>
      <c r="Q19" s="1">
        <f t="shared" si="18"/>
        <v>8715.806324110672</v>
      </c>
      <c r="R19" s="1">
        <f t="shared" si="18"/>
        <v>9674.5450197628488</v>
      </c>
      <c r="S19" s="1">
        <f t="shared" si="18"/>
        <v>10738.744971936763</v>
      </c>
      <c r="T19" s="1">
        <f t="shared" si="18"/>
        <v>11920.006918849809</v>
      </c>
      <c r="U19" s="1">
        <f t="shared" si="18"/>
        <v>13231.207679923289</v>
      </c>
      <c r="V19" s="1">
        <f t="shared" ref="V19" si="19">V14-V18</f>
        <v>14686.64052471485</v>
      </c>
    </row>
    <row r="20" spans="2:24" x14ac:dyDescent="0.2">
      <c r="B20" s="1" t="s">
        <v>21</v>
      </c>
      <c r="N20" s="1">
        <f>-112-19</f>
        <v>-131</v>
      </c>
      <c r="O20" s="1">
        <f>-113+16</f>
        <v>-97</v>
      </c>
      <c r="P20" s="1">
        <f>-169+48</f>
        <v>-121</v>
      </c>
      <c r="Q20" s="1">
        <f t="shared" ref="Q20:V20" si="20">P35*$Y$85</f>
        <v>7.5600000000000005</v>
      </c>
      <c r="R20" s="1">
        <f t="shared" si="20"/>
        <v>291.94174216600788</v>
      </c>
      <c r="S20" s="1">
        <f t="shared" si="20"/>
        <v>616.84921060488864</v>
      </c>
      <c r="T20" s="1">
        <f t="shared" si="20"/>
        <v>987.04158095574644</v>
      </c>
      <c r="U20" s="1">
        <f t="shared" si="20"/>
        <v>1407.8113620494075</v>
      </c>
      <c r="V20" s="1">
        <f t="shared" si="20"/>
        <v>1885.0433828177174</v>
      </c>
    </row>
    <row r="21" spans="2:24" x14ac:dyDescent="0.2">
      <c r="B21" s="1" t="s">
        <v>22</v>
      </c>
      <c r="N21" s="1">
        <f>N19+N20</f>
        <v>6136</v>
      </c>
      <c r="O21" s="1">
        <f t="shared" ref="O21:U21" si="21">O19+O20</f>
        <v>6721</v>
      </c>
      <c r="P21" s="1">
        <f t="shared" si="21"/>
        <v>7789</v>
      </c>
      <c r="Q21" s="1">
        <f t="shared" si="21"/>
        <v>8723.3663241106715</v>
      </c>
      <c r="R21" s="1">
        <f t="shared" si="21"/>
        <v>9966.4867619288561</v>
      </c>
      <c r="S21" s="1">
        <f t="shared" si="21"/>
        <v>11355.594182541652</v>
      </c>
      <c r="T21" s="1">
        <f t="shared" si="21"/>
        <v>12907.048499805556</v>
      </c>
      <c r="U21" s="1">
        <f t="shared" si="21"/>
        <v>14639.019041972697</v>
      </c>
      <c r="V21" s="1">
        <f t="shared" ref="V21" si="22">V19+V20</f>
        <v>16571.68390753257</v>
      </c>
    </row>
    <row r="22" spans="2:24" x14ac:dyDescent="0.2">
      <c r="B22" s="1" t="s">
        <v>23</v>
      </c>
      <c r="N22" s="1">
        <v>1252</v>
      </c>
      <c r="O22" s="1">
        <v>1371</v>
      </c>
      <c r="P22" s="1">
        <v>1371</v>
      </c>
      <c r="Q22" s="1">
        <f>Q21*Q28</f>
        <v>1613.8227699604743</v>
      </c>
      <c r="R22" s="1">
        <f t="shared" ref="R22:U22" si="23">R21*R28</f>
        <v>1843.8000509568383</v>
      </c>
      <c r="S22" s="1">
        <f t="shared" si="23"/>
        <v>2100.7849237702058</v>
      </c>
      <c r="T22" s="1">
        <f t="shared" si="23"/>
        <v>2387.803972464028</v>
      </c>
      <c r="U22" s="1">
        <f t="shared" si="23"/>
        <v>2708.2185227649488</v>
      </c>
      <c r="V22" s="1">
        <f t="shared" ref="V22" si="24">V21*V28</f>
        <v>3065.7615228935256</v>
      </c>
    </row>
    <row r="23" spans="2:24" s="3" customFormat="1" ht="15" x14ac:dyDescent="0.25">
      <c r="B23" s="3" t="s">
        <v>24</v>
      </c>
      <c r="N23" s="3">
        <f>N21-N22</f>
        <v>4884</v>
      </c>
      <c r="O23" s="3">
        <f t="shared" ref="O23:P23" si="25">O21-O22</f>
        <v>5350</v>
      </c>
      <c r="P23" s="3">
        <f t="shared" si="25"/>
        <v>6418</v>
      </c>
      <c r="Q23" s="3">
        <f t="shared" ref="Q23" si="26">Q21-Q22</f>
        <v>7109.5435541501975</v>
      </c>
      <c r="R23" s="3">
        <f t="shared" ref="R23" si="27">R21-R22</f>
        <v>8122.6867109720179</v>
      </c>
      <c r="S23" s="3">
        <f t="shared" ref="S23" si="28">S21-S22</f>
        <v>9254.8092587714455</v>
      </c>
      <c r="T23" s="3">
        <f t="shared" ref="T23" si="29">T21-T22</f>
        <v>10519.244527341529</v>
      </c>
      <c r="U23" s="3">
        <f t="shared" ref="U23:V23" si="30">U21-U22</f>
        <v>11930.800519207747</v>
      </c>
      <c r="V23" s="3">
        <f t="shared" si="30"/>
        <v>13505.922384639045</v>
      </c>
    </row>
    <row r="24" spans="2:24" x14ac:dyDescent="0.2">
      <c r="B24" s="1" t="s">
        <v>2</v>
      </c>
      <c r="N24" s="1">
        <v>471</v>
      </c>
      <c r="O24" s="1">
        <v>459</v>
      </c>
      <c r="P24" s="1">
        <v>450</v>
      </c>
      <c r="Q24" s="1">
        <v>450</v>
      </c>
      <c r="R24" s="1">
        <v>450</v>
      </c>
      <c r="S24" s="1">
        <v>450</v>
      </c>
      <c r="T24" s="1">
        <v>450</v>
      </c>
      <c r="U24" s="1">
        <v>450</v>
      </c>
      <c r="V24" s="1">
        <v>450</v>
      </c>
    </row>
    <row r="25" spans="2:24" x14ac:dyDescent="0.2">
      <c r="B25" s="1" t="s">
        <v>25</v>
      </c>
      <c r="G25" s="5">
        <v>4.1399999999999997</v>
      </c>
      <c r="N25" s="5">
        <f>N23/N24</f>
        <v>10.369426751592357</v>
      </c>
      <c r="O25" s="5">
        <f t="shared" ref="O25:U25" si="31">O23/O24</f>
        <v>11.655773420479303</v>
      </c>
      <c r="P25" s="5">
        <f t="shared" si="31"/>
        <v>14.262222222222222</v>
      </c>
      <c r="Q25" s="5">
        <f t="shared" si="31"/>
        <v>15.798985675889327</v>
      </c>
      <c r="R25" s="5">
        <f t="shared" si="31"/>
        <v>18.050414913271151</v>
      </c>
      <c r="S25" s="5">
        <f t="shared" si="31"/>
        <v>20.566242797269879</v>
      </c>
      <c r="T25" s="5">
        <f t="shared" si="31"/>
        <v>23.37609894964784</v>
      </c>
      <c r="U25" s="5">
        <f t="shared" si="31"/>
        <v>26.512890042683882</v>
      </c>
      <c r="V25" s="5">
        <f t="shared" ref="V25" si="32">V23/V24</f>
        <v>30.013160854753433</v>
      </c>
    </row>
    <row r="27" spans="2:24" s="3" customFormat="1" ht="15" x14ac:dyDescent="0.25">
      <c r="B27" s="3" t="s">
        <v>38</v>
      </c>
      <c r="O27" s="7">
        <f>O9/N9-1</f>
        <v>0.10240826990798602</v>
      </c>
      <c r="P27" s="7">
        <f>P9/O9-1</f>
        <v>0.10799113813179462</v>
      </c>
      <c r="Q27" s="7">
        <f t="shared" ref="Q27:V27" si="33">Q9/P9-1</f>
        <v>8.811904208323651E-2</v>
      </c>
      <c r="R27" s="7">
        <f t="shared" si="33"/>
        <v>0.1100000000000001</v>
      </c>
      <c r="S27" s="7">
        <f t="shared" si="33"/>
        <v>0.1100000000000001</v>
      </c>
      <c r="T27" s="7">
        <f t="shared" si="33"/>
        <v>0.1100000000000001</v>
      </c>
      <c r="U27" s="7">
        <f t="shared" si="33"/>
        <v>0.1100000000000001</v>
      </c>
      <c r="V27" s="7">
        <f t="shared" si="33"/>
        <v>0.1100000000000001</v>
      </c>
    </row>
    <row r="28" spans="2:24" x14ac:dyDescent="0.2">
      <c r="B28" s="1" t="s">
        <v>26</v>
      </c>
      <c r="N28" s="4">
        <f>N22/N21</f>
        <v>0.20404172099087353</v>
      </c>
      <c r="O28" s="4">
        <f t="shared" ref="O28:P28" si="34">O22/O21</f>
        <v>0.2039875018598423</v>
      </c>
      <c r="P28" s="4">
        <f t="shared" si="34"/>
        <v>0.17601746052124792</v>
      </c>
      <c r="Q28" s="4">
        <v>0.185</v>
      </c>
      <c r="R28" s="4">
        <v>0.185</v>
      </c>
      <c r="S28" s="4">
        <v>0.185</v>
      </c>
      <c r="T28" s="4">
        <v>0.185</v>
      </c>
      <c r="U28" s="4">
        <v>0.185</v>
      </c>
      <c r="V28" s="4">
        <v>0.185</v>
      </c>
    </row>
    <row r="30" spans="2:24" s="3" customFormat="1" ht="15" x14ac:dyDescent="0.25">
      <c r="B30" s="3" t="s">
        <v>27</v>
      </c>
      <c r="N30" s="7">
        <f>N14/N9</f>
        <v>0.87703055776439853</v>
      </c>
      <c r="O30" s="7">
        <f t="shared" ref="O30:P30" si="35">O14/O9</f>
        <v>0.87871605955999799</v>
      </c>
      <c r="P30" s="7">
        <f t="shared" si="35"/>
        <v>0.89035108114392003</v>
      </c>
      <c r="Q30" s="10">
        <v>0.89500000000000002</v>
      </c>
      <c r="R30" s="10">
        <v>0.89500000000000002</v>
      </c>
      <c r="S30" s="10">
        <v>0.89500000000000002</v>
      </c>
      <c r="T30" s="10">
        <v>0.89500000000000002</v>
      </c>
      <c r="U30" s="10">
        <v>0.89500000000000002</v>
      </c>
      <c r="V30" s="10">
        <v>0.89500000000000002</v>
      </c>
    </row>
    <row r="31" spans="2:24" s="3" customFormat="1" ht="15" x14ac:dyDescent="0.25">
      <c r="B31" s="1" t="s">
        <v>40</v>
      </c>
      <c r="N31" s="4">
        <f>N19/N9</f>
        <v>0.35595819606952173</v>
      </c>
      <c r="O31" s="4">
        <f t="shared" ref="O31:U31" si="36">O19/O9</f>
        <v>0.35128033386573237</v>
      </c>
      <c r="P31" s="4">
        <f t="shared" si="36"/>
        <v>0.36782143687514529</v>
      </c>
      <c r="Q31" s="4">
        <f t="shared" si="36"/>
        <v>0.37247035573122528</v>
      </c>
      <c r="R31" s="4">
        <f t="shared" si="36"/>
        <v>0.37247035573122533</v>
      </c>
      <c r="S31" s="4">
        <f t="shared" si="36"/>
        <v>0.37247035573122539</v>
      </c>
      <c r="T31" s="4">
        <f t="shared" si="36"/>
        <v>0.37247035573122539</v>
      </c>
      <c r="U31" s="4">
        <f t="shared" si="36"/>
        <v>0.37247035573122539</v>
      </c>
      <c r="V31" s="4">
        <f t="shared" ref="V31" si="37">V19/V9</f>
        <v>0.37247035573122533</v>
      </c>
      <c r="W31" s="1"/>
      <c r="X31" s="4"/>
    </row>
    <row r="32" spans="2:24" s="3" customFormat="1" ht="15" x14ac:dyDescent="0.25">
      <c r="B32" s="1" t="s">
        <v>37</v>
      </c>
      <c r="N32" s="4">
        <f>N68/N9</f>
        <v>0.27740542996705669</v>
      </c>
      <c r="O32" s="4">
        <f>O68/O9</f>
        <v>0.27564531918182289</v>
      </c>
      <c r="P32" s="4">
        <f>P68/P9</f>
        <v>0.29844222273889792</v>
      </c>
      <c r="Q32" s="4">
        <v>0.4</v>
      </c>
      <c r="R32" s="4">
        <f>Q32*1.04</f>
        <v>0.41600000000000004</v>
      </c>
      <c r="S32" s="4">
        <f t="shared" ref="S32:V32" si="38">R32*1.04</f>
        <v>0.43264000000000008</v>
      </c>
      <c r="T32" s="4">
        <f t="shared" si="38"/>
        <v>0.44994560000000011</v>
      </c>
      <c r="U32" s="4">
        <f t="shared" si="38"/>
        <v>0.46794342400000011</v>
      </c>
      <c r="V32" s="4">
        <f t="shared" si="38"/>
        <v>0.48666116096000012</v>
      </c>
      <c r="W32" s="1"/>
      <c r="X32" s="4"/>
    </row>
    <row r="33" spans="2:26" s="3" customFormat="1" ht="15" x14ac:dyDescent="0.25">
      <c r="B33" s="1" t="s">
        <v>39</v>
      </c>
      <c r="N33" s="4">
        <f>N18/N9</f>
        <v>0.5210723616948767</v>
      </c>
      <c r="O33" s="4">
        <f t="shared" ref="O33:U33" si="39">O18/O9</f>
        <v>0.52743572569426556</v>
      </c>
      <c r="P33" s="4">
        <f t="shared" si="39"/>
        <v>0.52252964426877468</v>
      </c>
      <c r="Q33" s="4">
        <f t="shared" si="39"/>
        <v>0.52252964426877468</v>
      </c>
      <c r="R33" s="4">
        <f t="shared" si="39"/>
        <v>0.52252964426877468</v>
      </c>
      <c r="S33" s="4">
        <f t="shared" si="39"/>
        <v>0.52252964426877468</v>
      </c>
      <c r="T33" s="4">
        <f t="shared" si="39"/>
        <v>0.52252964426877457</v>
      </c>
      <c r="U33" s="4">
        <f t="shared" si="39"/>
        <v>0.52252964426877457</v>
      </c>
      <c r="V33" s="4">
        <f t="shared" ref="V33" si="40">V18/V9</f>
        <v>0.5225296442687748</v>
      </c>
      <c r="W33" s="1"/>
      <c r="X33" s="4"/>
    </row>
    <row r="34" spans="2:26" ht="15" x14ac:dyDescent="0.25">
      <c r="X34" s="3"/>
      <c r="Y34" s="3"/>
      <c r="Z34" s="3"/>
    </row>
    <row r="35" spans="2:26" x14ac:dyDescent="0.2">
      <c r="B35" s="1" t="s">
        <v>30</v>
      </c>
      <c r="G35" s="1">
        <f>G36-G37</f>
        <v>-262</v>
      </c>
      <c r="L35" s="1">
        <f>L36-L37</f>
        <v>0</v>
      </c>
      <c r="M35" s="1">
        <f>M36-M37</f>
        <v>0</v>
      </c>
      <c r="N35" s="1">
        <f>N36-N37</f>
        <v>0</v>
      </c>
      <c r="O35" s="1">
        <f>O36-O37</f>
        <v>2832</v>
      </c>
      <c r="P35" s="1">
        <f>P36-P37</f>
        <v>189</v>
      </c>
      <c r="Q35" s="1">
        <f t="shared" ref="Q35:V35" si="41">P35+Q23</f>
        <v>7298.5435541501975</v>
      </c>
      <c r="R35" s="1">
        <f t="shared" si="41"/>
        <v>15421.230265122216</v>
      </c>
      <c r="S35" s="1">
        <f t="shared" si="41"/>
        <v>24676.039523893662</v>
      </c>
      <c r="T35" s="1">
        <f t="shared" si="41"/>
        <v>35195.28405123519</v>
      </c>
      <c r="U35" s="1">
        <f t="shared" si="41"/>
        <v>47126.084570442938</v>
      </c>
      <c r="V35" s="1">
        <f t="shared" si="41"/>
        <v>60632.006955081983</v>
      </c>
    </row>
    <row r="36" spans="2:26" x14ac:dyDescent="0.2">
      <c r="B36" s="1" t="s">
        <v>4</v>
      </c>
      <c r="G36" s="1">
        <f>6758+677</f>
        <v>7435</v>
      </c>
      <c r="O36" s="1">
        <f>O39+O40</f>
        <v>7842</v>
      </c>
      <c r="P36" s="1">
        <f>P39+P40</f>
        <v>7886</v>
      </c>
    </row>
    <row r="37" spans="2:26" x14ac:dyDescent="0.2">
      <c r="B37" s="1" t="s">
        <v>5</v>
      </c>
      <c r="G37" s="1">
        <f>6155+143+567+334+498</f>
        <v>7697</v>
      </c>
      <c r="O37" s="1">
        <f>SUM(O57:O61)</f>
        <v>5010</v>
      </c>
      <c r="P37" s="1">
        <f>6155+143+567+334+498</f>
        <v>7697</v>
      </c>
    </row>
    <row r="39" spans="2:26" x14ac:dyDescent="0.2">
      <c r="B39" s="1" t="s">
        <v>4</v>
      </c>
      <c r="O39" s="1">
        <v>7141</v>
      </c>
      <c r="P39" s="1">
        <v>7613</v>
      </c>
    </row>
    <row r="40" spans="2:26" x14ac:dyDescent="0.2">
      <c r="B40" s="1" t="s">
        <v>41</v>
      </c>
      <c r="O40" s="1">
        <v>701</v>
      </c>
      <c r="P40" s="1">
        <v>273</v>
      </c>
    </row>
    <row r="41" spans="2:26" x14ac:dyDescent="0.2">
      <c r="B41" s="1" t="s">
        <v>42</v>
      </c>
      <c r="O41" s="1">
        <v>2224</v>
      </c>
      <c r="P41" s="1">
        <v>2072</v>
      </c>
    </row>
    <row r="42" spans="2:26" x14ac:dyDescent="0.2">
      <c r="B42" s="1" t="s">
        <v>43</v>
      </c>
      <c r="O42" s="1">
        <v>1018</v>
      </c>
      <c r="P42" s="1">
        <v>1274</v>
      </c>
    </row>
    <row r="43" spans="2:26" x14ac:dyDescent="0.2">
      <c r="B43" s="1" t="s">
        <v>44</v>
      </c>
      <c r="O43" s="1">
        <v>2030</v>
      </c>
      <c r="P43" s="1">
        <v>1936</v>
      </c>
    </row>
    <row r="44" spans="2:26" x14ac:dyDescent="0.2">
      <c r="B44" s="1" t="s">
        <v>45</v>
      </c>
      <c r="O44" s="1">
        <v>358</v>
      </c>
      <c r="P44" s="1">
        <v>281</v>
      </c>
    </row>
    <row r="45" spans="2:26" x14ac:dyDescent="0.2">
      <c r="B45" s="1" t="s">
        <v>46</v>
      </c>
      <c r="O45" s="1">
        <v>12805</v>
      </c>
      <c r="P45" s="1">
        <v>12788</v>
      </c>
    </row>
    <row r="46" spans="2:26" x14ac:dyDescent="0.2">
      <c r="B46" s="1" t="s">
        <v>47</v>
      </c>
      <c r="O46" s="1">
        <v>1088</v>
      </c>
      <c r="P46" s="1">
        <v>782</v>
      </c>
    </row>
    <row r="47" spans="2:26" x14ac:dyDescent="0.2">
      <c r="B47" s="1" t="s">
        <v>48</v>
      </c>
      <c r="O47" s="1">
        <v>1191</v>
      </c>
      <c r="P47" s="1">
        <v>1657</v>
      </c>
    </row>
    <row r="48" spans="2:26" x14ac:dyDescent="0.2">
      <c r="B48" s="1" t="s">
        <v>49</v>
      </c>
      <c r="O48" s="1">
        <v>1223</v>
      </c>
      <c r="P48" s="1">
        <v>1554</v>
      </c>
    </row>
    <row r="49" spans="2:16" x14ac:dyDescent="0.2">
      <c r="B49" s="1" t="s">
        <v>50</v>
      </c>
      <c r="O49" s="1">
        <f>SUM(O39:O48)</f>
        <v>29779</v>
      </c>
      <c r="P49" s="1">
        <f>SUM(P39:P48)</f>
        <v>30230</v>
      </c>
    </row>
    <row r="51" spans="2:16" x14ac:dyDescent="0.2">
      <c r="B51" s="1" t="s">
        <v>51</v>
      </c>
      <c r="O51" s="1">
        <v>314</v>
      </c>
      <c r="P51" s="1">
        <v>361</v>
      </c>
    </row>
    <row r="52" spans="2:16" x14ac:dyDescent="0.2">
      <c r="B52" s="1" t="s">
        <v>52</v>
      </c>
      <c r="O52" s="1">
        <v>1942</v>
      </c>
      <c r="P52" s="1">
        <v>2336</v>
      </c>
    </row>
    <row r="53" spans="2:16" x14ac:dyDescent="0.2">
      <c r="B53" s="1" t="s">
        <v>56</v>
      </c>
      <c r="O53" s="1">
        <v>0</v>
      </c>
      <c r="P53" s="1">
        <v>1499</v>
      </c>
    </row>
    <row r="54" spans="2:16" x14ac:dyDescent="0.2">
      <c r="B54" s="1" t="s">
        <v>53</v>
      </c>
      <c r="O54" s="1">
        <v>5837</v>
      </c>
      <c r="P54" s="1">
        <v>6131</v>
      </c>
    </row>
    <row r="55" spans="2:16" x14ac:dyDescent="0.2">
      <c r="B55" s="1" t="s">
        <v>54</v>
      </c>
      <c r="O55" s="1">
        <v>85</v>
      </c>
      <c r="P55" s="1">
        <v>119</v>
      </c>
    </row>
    <row r="56" spans="2:16" x14ac:dyDescent="0.2">
      <c r="B56" s="1" t="s">
        <v>55</v>
      </c>
      <c r="O56" s="1">
        <v>73</v>
      </c>
      <c r="P56" s="1">
        <v>75</v>
      </c>
    </row>
    <row r="57" spans="2:16" x14ac:dyDescent="0.2">
      <c r="B57" s="1" t="s">
        <v>57</v>
      </c>
      <c r="O57" s="1">
        <v>3634</v>
      </c>
      <c r="P57" s="1">
        <v>4129</v>
      </c>
    </row>
    <row r="58" spans="2:16" x14ac:dyDescent="0.2">
      <c r="B58" s="1" t="s">
        <v>58</v>
      </c>
      <c r="O58" s="1">
        <v>113</v>
      </c>
      <c r="P58" s="1">
        <v>128</v>
      </c>
    </row>
    <row r="59" spans="2:16" x14ac:dyDescent="0.2">
      <c r="B59" s="1" t="s">
        <v>70</v>
      </c>
      <c r="O59" s="1">
        <v>514</v>
      </c>
      <c r="P59" s="1">
        <v>548</v>
      </c>
    </row>
    <row r="60" spans="2:16" x14ac:dyDescent="0.2">
      <c r="B60" s="1" t="s">
        <v>55</v>
      </c>
      <c r="O60" s="1">
        <v>373</v>
      </c>
      <c r="P60" s="1">
        <v>353</v>
      </c>
    </row>
    <row r="61" spans="2:16" x14ac:dyDescent="0.2">
      <c r="B61" s="1" t="s">
        <v>59</v>
      </c>
      <c r="O61" s="1">
        <v>376</v>
      </c>
      <c r="P61" s="1">
        <v>446</v>
      </c>
    </row>
    <row r="62" spans="2:16" x14ac:dyDescent="0.2">
      <c r="B62" s="1" t="s">
        <v>61</v>
      </c>
      <c r="O62" s="1">
        <f>SUM(O51:O61)</f>
        <v>13261</v>
      </c>
      <c r="P62" s="1">
        <f>SUM(P51:P61)</f>
        <v>16125</v>
      </c>
    </row>
    <row r="63" spans="2:16" x14ac:dyDescent="0.2">
      <c r="B63" s="1" t="s">
        <v>60</v>
      </c>
      <c r="O63" s="1">
        <f>O49-O62</f>
        <v>16518</v>
      </c>
      <c r="P63" s="1">
        <f>P49-P62</f>
        <v>14105</v>
      </c>
    </row>
    <row r="64" spans="2:16" x14ac:dyDescent="0.2">
      <c r="B64" s="1" t="s">
        <v>62</v>
      </c>
      <c r="O64" s="1">
        <f>O63+O62</f>
        <v>29779</v>
      </c>
      <c r="P64" s="1">
        <f>P63+P62</f>
        <v>30230</v>
      </c>
    </row>
    <row r="66" spans="2:22" x14ac:dyDescent="0.2">
      <c r="B66" s="1" t="s">
        <v>71</v>
      </c>
      <c r="O66" s="1">
        <f>O41/O9*360</f>
        <v>41.250966046679373</v>
      </c>
      <c r="P66" s="1">
        <f>P41/P9*360</f>
        <v>34.68588700302255</v>
      </c>
    </row>
    <row r="67" spans="2:22" x14ac:dyDescent="0.2">
      <c r="P67" s="4"/>
      <c r="Q67" s="4"/>
      <c r="R67" s="4"/>
    </row>
    <row r="68" spans="2:22" s="3" customFormat="1" ht="15" x14ac:dyDescent="0.25">
      <c r="B68" s="1" t="s">
        <v>72</v>
      </c>
      <c r="N68" s="3">
        <f>N23</f>
        <v>4884</v>
      </c>
      <c r="O68" s="3">
        <f t="shared" ref="O68:U68" si="42">O23</f>
        <v>5350</v>
      </c>
      <c r="P68" s="3">
        <f t="shared" si="42"/>
        <v>6418</v>
      </c>
      <c r="Q68" s="3">
        <f t="shared" si="42"/>
        <v>7109.5435541501975</v>
      </c>
      <c r="R68" s="3">
        <f t="shared" si="42"/>
        <v>8122.6867109720179</v>
      </c>
      <c r="S68" s="3">
        <f t="shared" si="42"/>
        <v>9254.8092587714455</v>
      </c>
      <c r="T68" s="3">
        <f t="shared" si="42"/>
        <v>10519.244527341529</v>
      </c>
      <c r="U68" s="3">
        <f t="shared" si="42"/>
        <v>11930.800519207747</v>
      </c>
      <c r="V68" s="3">
        <f t="shared" ref="V68" si="43">V23</f>
        <v>13505.922384639045</v>
      </c>
    </row>
    <row r="69" spans="2:22" x14ac:dyDescent="0.2">
      <c r="B69" s="1" t="s">
        <v>73</v>
      </c>
      <c r="N69" s="1">
        <v>4756</v>
      </c>
      <c r="O69" s="1">
        <v>5428</v>
      </c>
      <c r="P69" s="1">
        <v>5560</v>
      </c>
    </row>
    <row r="70" spans="2:22" x14ac:dyDescent="0.2">
      <c r="B70" s="1" t="s">
        <v>74</v>
      </c>
      <c r="N70" s="1">
        <v>856</v>
      </c>
      <c r="O70" s="1">
        <v>872</v>
      </c>
      <c r="P70" s="1">
        <v>857</v>
      </c>
      <c r="Q70" s="1">
        <f>P70*(1+Q27)</f>
        <v>932.51801906533365</v>
      </c>
      <c r="R70" s="1">
        <f t="shared" ref="R70:V70" si="44">Q70*(1+R27)</f>
        <v>1035.0950011625205</v>
      </c>
      <c r="S70" s="1">
        <f t="shared" si="44"/>
        <v>1148.9554512903978</v>
      </c>
      <c r="T70" s="1">
        <f t="shared" si="44"/>
        <v>1275.3405509323418</v>
      </c>
      <c r="U70" s="1">
        <f t="shared" si="44"/>
        <v>1415.6280115348995</v>
      </c>
      <c r="V70" s="1">
        <f t="shared" si="44"/>
        <v>1571.3470928037386</v>
      </c>
    </row>
    <row r="71" spans="2:22" x14ac:dyDescent="0.2">
      <c r="B71" s="1" t="s">
        <v>75</v>
      </c>
      <c r="N71" s="1">
        <v>1440</v>
      </c>
      <c r="O71" s="1">
        <v>1718</v>
      </c>
      <c r="P71" s="1">
        <v>1833</v>
      </c>
      <c r="Q71" s="1">
        <f>P71*1.13</f>
        <v>2071.29</v>
      </c>
      <c r="R71" s="1">
        <f t="shared" ref="R71:V71" si="45">Q71*1.13</f>
        <v>2340.5576999999998</v>
      </c>
      <c r="S71" s="1">
        <f t="shared" si="45"/>
        <v>2644.8302009999998</v>
      </c>
      <c r="T71" s="1">
        <f t="shared" si="45"/>
        <v>2988.6581271299992</v>
      </c>
      <c r="U71" s="1">
        <f t="shared" si="45"/>
        <v>3377.1836836568987</v>
      </c>
      <c r="V71" s="1">
        <f t="shared" si="45"/>
        <v>3816.2175625322952</v>
      </c>
    </row>
    <row r="72" spans="2:22" x14ac:dyDescent="0.2">
      <c r="B72" s="1" t="s">
        <v>76</v>
      </c>
      <c r="N72" s="1">
        <v>83</v>
      </c>
      <c r="O72" s="1">
        <v>72</v>
      </c>
      <c r="P72" s="1">
        <v>77</v>
      </c>
      <c r="Q72" s="1">
        <f>P72*(1+Q27)</f>
        <v>83.785166240409211</v>
      </c>
      <c r="R72" s="1">
        <f t="shared" ref="R72:V72" si="46">Q72*(1+R27)</f>
        <v>93.001534526854229</v>
      </c>
      <c r="S72" s="1">
        <f t="shared" si="46"/>
        <v>103.23170332480821</v>
      </c>
      <c r="T72" s="1">
        <f t="shared" si="46"/>
        <v>114.58719069053713</v>
      </c>
      <c r="U72" s="1">
        <f t="shared" si="46"/>
        <v>127.19178166649623</v>
      </c>
      <c r="V72" s="1">
        <f t="shared" si="46"/>
        <v>141.18287764981082</v>
      </c>
    </row>
    <row r="73" spans="2:22" x14ac:dyDescent="0.2">
      <c r="B73" s="1" t="s">
        <v>77</v>
      </c>
      <c r="N73" s="1">
        <v>0</v>
      </c>
      <c r="O73" s="1">
        <v>0</v>
      </c>
      <c r="P73" s="1">
        <v>78</v>
      </c>
      <c r="Q73" s="1">
        <f>P73*(1+Q27)</f>
        <v>84.873285282492446</v>
      </c>
      <c r="R73" s="1">
        <f t="shared" ref="R73:V73" si="47">Q73*(1+R27)</f>
        <v>94.20934666356662</v>
      </c>
      <c r="S73" s="1">
        <f t="shared" si="47"/>
        <v>104.57237479655896</v>
      </c>
      <c r="T73" s="1">
        <f t="shared" si="47"/>
        <v>116.07533602418046</v>
      </c>
      <c r="U73" s="1">
        <f t="shared" si="47"/>
        <v>128.84362298684033</v>
      </c>
      <c r="V73" s="1">
        <f t="shared" si="47"/>
        <v>143.01642151539278</v>
      </c>
    </row>
    <row r="74" spans="2:22" x14ac:dyDescent="0.2">
      <c r="B74" s="1" t="s">
        <v>48</v>
      </c>
      <c r="N74" s="1">
        <v>328</v>
      </c>
      <c r="O74" s="1">
        <v>-426</v>
      </c>
      <c r="P74" s="1">
        <v>-468</v>
      </c>
      <c r="Q74" s="1">
        <f>P74*(1+Q27)</f>
        <v>-509.23971169495468</v>
      </c>
      <c r="R74" s="1">
        <f t="shared" ref="R74:V74" si="48">Q74*(1+R27)</f>
        <v>-565.25607998139969</v>
      </c>
      <c r="S74" s="1">
        <f t="shared" si="48"/>
        <v>-627.43424877935377</v>
      </c>
      <c r="T74" s="1">
        <f t="shared" si="48"/>
        <v>-696.45201614508278</v>
      </c>
      <c r="U74" s="1">
        <f t="shared" si="48"/>
        <v>-773.06173792104198</v>
      </c>
      <c r="V74" s="1">
        <f t="shared" si="48"/>
        <v>-858.09852909235667</v>
      </c>
    </row>
    <row r="75" spans="2:22" x14ac:dyDescent="0.2">
      <c r="B75" s="1" t="s">
        <v>78</v>
      </c>
      <c r="N75" s="1">
        <v>29</v>
      </c>
      <c r="O75" s="1">
        <v>-10</v>
      </c>
      <c r="P75" s="1">
        <v>-35</v>
      </c>
      <c r="Q75" s="1">
        <f>P75*(1+Q27)</f>
        <v>-38.084166472913275</v>
      </c>
      <c r="R75" s="1">
        <f t="shared" ref="R75:V75" si="49">Q75*(1+R27)</f>
        <v>-42.273424784933738</v>
      </c>
      <c r="S75" s="1">
        <f t="shared" si="49"/>
        <v>-46.923501511276456</v>
      </c>
      <c r="T75" s="1">
        <f t="shared" si="49"/>
        <v>-52.08508667751687</v>
      </c>
      <c r="U75" s="1">
        <f t="shared" si="49"/>
        <v>-57.814446212043734</v>
      </c>
      <c r="V75" s="1">
        <f t="shared" si="49"/>
        <v>-64.174035295368554</v>
      </c>
    </row>
    <row r="76" spans="2:22" x14ac:dyDescent="0.2">
      <c r="B76" s="1" t="s">
        <v>79</v>
      </c>
      <c r="N76" s="1">
        <v>10</v>
      </c>
      <c r="O76" s="1">
        <v>3</v>
      </c>
      <c r="P76" s="1">
        <v>10</v>
      </c>
      <c r="Q76" s="1">
        <f>P76*(1+Q27)</f>
        <v>10.881190420832365</v>
      </c>
      <c r="R76" s="1">
        <f t="shared" ref="R76:V76" si="50">Q76*(1+R27)</f>
        <v>12.078121367123925</v>
      </c>
      <c r="S76" s="1">
        <f t="shared" si="50"/>
        <v>13.406714717507558</v>
      </c>
      <c r="T76" s="1">
        <f t="shared" si="50"/>
        <v>14.881453336433392</v>
      </c>
      <c r="U76" s="1">
        <f t="shared" si="50"/>
        <v>16.518413203441067</v>
      </c>
      <c r="V76" s="1">
        <f t="shared" si="50"/>
        <v>18.335438655819587</v>
      </c>
    </row>
    <row r="77" spans="2:22" x14ac:dyDescent="0.2">
      <c r="B77" s="1" t="s">
        <v>42</v>
      </c>
      <c r="N77" s="1">
        <v>-198</v>
      </c>
      <c r="O77" s="1">
        <v>-159</v>
      </c>
      <c r="P77" s="1">
        <v>143</v>
      </c>
      <c r="Q77" s="1">
        <f>P77*(1+Q27)</f>
        <v>155.60102301790283</v>
      </c>
      <c r="R77" s="1">
        <f t="shared" ref="R77:V77" si="51">Q77*(1+R27)</f>
        <v>172.71713554987215</v>
      </c>
      <c r="S77" s="1">
        <f t="shared" si="51"/>
        <v>191.7160204603581</v>
      </c>
      <c r="T77" s="1">
        <f t="shared" si="51"/>
        <v>212.8047827109975</v>
      </c>
      <c r="U77" s="1">
        <f t="shared" si="51"/>
        <v>236.21330880920723</v>
      </c>
      <c r="V77" s="1">
        <f t="shared" si="51"/>
        <v>262.19677277822007</v>
      </c>
    </row>
    <row r="78" spans="2:22" x14ac:dyDescent="0.2">
      <c r="B78" s="1" t="s">
        <v>43</v>
      </c>
      <c r="N78" s="1">
        <v>-94</v>
      </c>
      <c r="O78" s="1">
        <v>-818</v>
      </c>
      <c r="P78" s="1">
        <v>-616</v>
      </c>
      <c r="Q78" s="1">
        <f>P78*(1+Q27)</f>
        <v>-670.28132992327369</v>
      </c>
      <c r="R78" s="1">
        <f t="shared" ref="R78:V78" si="52">Q78*(1+R27)</f>
        <v>-744.01227621483383</v>
      </c>
      <c r="S78" s="1">
        <f t="shared" si="52"/>
        <v>-825.85362659846567</v>
      </c>
      <c r="T78" s="1">
        <f t="shared" si="52"/>
        <v>-916.69752552429702</v>
      </c>
      <c r="U78" s="1">
        <f t="shared" si="52"/>
        <v>-1017.5342533319698</v>
      </c>
      <c r="V78" s="1">
        <f t="shared" si="52"/>
        <v>-1129.4630211984866</v>
      </c>
    </row>
    <row r="79" spans="2:22" x14ac:dyDescent="0.2">
      <c r="B79" s="1" t="s">
        <v>80</v>
      </c>
      <c r="N79" s="1">
        <v>66</v>
      </c>
      <c r="O79" s="1">
        <v>-49</v>
      </c>
      <c r="P79" s="1">
        <v>44</v>
      </c>
      <c r="Q79" s="1">
        <f>P79*(1+Q27)</f>
        <v>47.877237851662407</v>
      </c>
      <c r="R79" s="1">
        <f t="shared" ref="R79:V79" si="53">Q79*(1+R27)</f>
        <v>53.143734015345274</v>
      </c>
      <c r="S79" s="1">
        <f t="shared" si="53"/>
        <v>58.989544757033258</v>
      </c>
      <c r="T79" s="1">
        <f t="shared" si="53"/>
        <v>65.47839468030692</v>
      </c>
      <c r="U79" s="1">
        <f t="shared" si="53"/>
        <v>72.681018095140686</v>
      </c>
      <c r="V79" s="1">
        <f t="shared" si="53"/>
        <v>80.675930085606169</v>
      </c>
    </row>
    <row r="80" spans="2:22" x14ac:dyDescent="0.2">
      <c r="B80" s="1" t="s">
        <v>52</v>
      </c>
      <c r="N80" s="1">
        <v>7</v>
      </c>
      <c r="O80" s="1">
        <v>146</v>
      </c>
      <c r="P80" s="1">
        <v>196</v>
      </c>
      <c r="Q80" s="1">
        <f>P80*(1+Q27)</f>
        <v>213.27133224831437</v>
      </c>
      <c r="R80" s="1">
        <f t="shared" ref="R80:V80" si="54">Q80*(1+R27)</f>
        <v>236.73117879562898</v>
      </c>
      <c r="S80" s="1">
        <f t="shared" si="54"/>
        <v>262.7716084631482</v>
      </c>
      <c r="T80" s="1">
        <f t="shared" si="54"/>
        <v>291.67648539409453</v>
      </c>
      <c r="U80" s="1">
        <f t="shared" si="54"/>
        <v>323.76089878744494</v>
      </c>
      <c r="V80" s="1">
        <f t="shared" si="54"/>
        <v>359.3745976540639</v>
      </c>
    </row>
    <row r="81" spans="1:114" x14ac:dyDescent="0.2">
      <c r="B81" s="1" t="s">
        <v>54</v>
      </c>
      <c r="N81" s="1">
        <v>19</v>
      </c>
      <c r="O81" s="1">
        <v>-11</v>
      </c>
      <c r="P81" s="1">
        <v>68</v>
      </c>
      <c r="Q81" s="1">
        <f>P81*(1+Q27)</f>
        <v>73.992094861660078</v>
      </c>
      <c r="R81" s="1">
        <f t="shared" ref="R81:V81" si="55">Q81*(1+R27)</f>
        <v>82.131225296442693</v>
      </c>
      <c r="S81" s="1">
        <f t="shared" si="55"/>
        <v>91.165660079051392</v>
      </c>
      <c r="T81" s="1">
        <f t="shared" si="55"/>
        <v>101.19388268774705</v>
      </c>
      <c r="U81" s="1">
        <f t="shared" si="55"/>
        <v>112.32520978339923</v>
      </c>
      <c r="V81" s="1">
        <f t="shared" si="55"/>
        <v>124.68098285957316</v>
      </c>
    </row>
    <row r="82" spans="1:114" x14ac:dyDescent="0.2">
      <c r="B82" s="1" t="s">
        <v>81</v>
      </c>
      <c r="N82" s="1">
        <v>536</v>
      </c>
      <c r="O82" s="1">
        <v>536</v>
      </c>
      <c r="P82" s="1">
        <v>309</v>
      </c>
      <c r="Q82" s="1">
        <f>P82*(1+Q27)</f>
        <v>336.22878400372008</v>
      </c>
      <c r="R82" s="1">
        <f t="shared" ref="R82:V82" si="56">Q82*(1+R27)</f>
        <v>373.21395024412931</v>
      </c>
      <c r="S82" s="1">
        <f t="shared" si="56"/>
        <v>414.26748477098357</v>
      </c>
      <c r="T82" s="1">
        <f t="shared" si="56"/>
        <v>459.83690809579178</v>
      </c>
      <c r="U82" s="1">
        <f t="shared" si="56"/>
        <v>510.41896798632894</v>
      </c>
      <c r="V82" s="1">
        <f t="shared" si="56"/>
        <v>566.56505446482515</v>
      </c>
    </row>
    <row r="83" spans="1:114" s="3" customFormat="1" ht="15" x14ac:dyDescent="0.25">
      <c r="A83" s="1"/>
      <c r="B83" s="3" t="s">
        <v>28</v>
      </c>
      <c r="C83" s="8"/>
      <c r="D83" s="8"/>
      <c r="E83" s="8"/>
      <c r="F83" s="8"/>
      <c r="H83" s="8"/>
      <c r="I83" s="8"/>
      <c r="J83" s="8"/>
      <c r="N83" s="3">
        <f>SUM(N69:N82)</f>
        <v>7838</v>
      </c>
      <c r="O83" s="3">
        <f t="shared" ref="O83:P83" si="57">SUM(O69:O82)</f>
        <v>7302</v>
      </c>
      <c r="P83" s="3">
        <f t="shared" si="57"/>
        <v>8056</v>
      </c>
      <c r="Q83" s="3">
        <f>SUM(Q68:Q82)</f>
        <v>9902.2564790513861</v>
      </c>
      <c r="R83" s="3">
        <f t="shared" ref="R83:U83" si="58">SUM(R68:R82)</f>
        <v>11264.023857612337</v>
      </c>
      <c r="S83" s="3">
        <f t="shared" si="58"/>
        <v>12788.504645542196</v>
      </c>
      <c r="T83" s="3">
        <f t="shared" si="58"/>
        <v>14494.54301067706</v>
      </c>
      <c r="U83" s="3">
        <f t="shared" si="58"/>
        <v>16403.154998252794</v>
      </c>
      <c r="V83" s="3">
        <f t="shared" ref="V83" si="59">SUM(V68:V82)</f>
        <v>18537.779530052183</v>
      </c>
    </row>
    <row r="84" spans="1:114" x14ac:dyDescent="0.2">
      <c r="B84" s="1" t="s">
        <v>83</v>
      </c>
      <c r="N84" s="1">
        <v>-909</v>
      </c>
      <c r="O84" s="1">
        <v>0</v>
      </c>
      <c r="P84" s="1">
        <v>-59</v>
      </c>
    </row>
    <row r="85" spans="1:114" x14ac:dyDescent="0.2">
      <c r="B85" s="1" t="s">
        <v>82</v>
      </c>
      <c r="N85" s="1">
        <v>683</v>
      </c>
      <c r="O85" s="1">
        <v>965</v>
      </c>
      <c r="P85" s="1">
        <v>486</v>
      </c>
      <c r="X85" s="1" t="s">
        <v>32</v>
      </c>
      <c r="Y85" s="12">
        <v>0.04</v>
      </c>
    </row>
    <row r="86" spans="1:114" x14ac:dyDescent="0.2">
      <c r="B86" s="1" t="s">
        <v>84</v>
      </c>
      <c r="N86" s="1">
        <v>270</v>
      </c>
      <c r="O86" s="1">
        <v>223</v>
      </c>
      <c r="P86" s="1">
        <v>11</v>
      </c>
      <c r="X86" s="1" t="s">
        <v>33</v>
      </c>
      <c r="Y86" s="12">
        <v>0.01</v>
      </c>
    </row>
    <row r="87" spans="1:114" x14ac:dyDescent="0.2">
      <c r="B87" s="1" t="s">
        <v>85</v>
      </c>
      <c r="N87" s="1">
        <v>-126</v>
      </c>
      <c r="O87" s="1">
        <v>0</v>
      </c>
      <c r="P87" s="1">
        <v>0</v>
      </c>
      <c r="X87" s="1" t="s">
        <v>34</v>
      </c>
      <c r="Y87" s="6">
        <v>8.5000000000000006E-2</v>
      </c>
    </row>
    <row r="88" spans="1:114" ht="15" x14ac:dyDescent="0.25">
      <c r="B88" s="1" t="s">
        <v>86</v>
      </c>
      <c r="N88" s="1">
        <v>-442</v>
      </c>
      <c r="O88" s="1">
        <v>-360</v>
      </c>
      <c r="P88" s="1">
        <v>-183</v>
      </c>
      <c r="X88" s="1" t="s">
        <v>35</v>
      </c>
      <c r="Y88" s="3">
        <f>NPV(Y87,Q92:DJ92)+main!D5-main!D6</f>
        <v>208057.50797721083</v>
      </c>
    </row>
    <row r="89" spans="1:114" x14ac:dyDescent="0.2">
      <c r="B89" s="1" t="s">
        <v>87</v>
      </c>
      <c r="N89" s="1">
        <v>-46</v>
      </c>
      <c r="O89" s="1">
        <v>-53</v>
      </c>
      <c r="P89" s="1">
        <v>-108</v>
      </c>
      <c r="X89" s="1" t="s">
        <v>1</v>
      </c>
      <c r="Y89" s="5">
        <f>Y88/main!D3</f>
        <v>488.16871885783866</v>
      </c>
    </row>
    <row r="90" spans="1:114" x14ac:dyDescent="0.2">
      <c r="B90" s="1" t="s">
        <v>88</v>
      </c>
      <c r="N90" s="1">
        <v>0</v>
      </c>
      <c r="O90" s="1">
        <v>1</v>
      </c>
      <c r="P90" s="1">
        <v>2</v>
      </c>
      <c r="X90" s="1" t="s">
        <v>36</v>
      </c>
      <c r="Y90" s="4">
        <f>Y89/main!D2-1</f>
        <v>0.18200658319089258</v>
      </c>
    </row>
    <row r="91" spans="1:114" s="3" customFormat="1" ht="15" x14ac:dyDescent="0.25">
      <c r="A91" s="1"/>
      <c r="B91" s="3" t="s">
        <v>89</v>
      </c>
      <c r="C91" s="8"/>
      <c r="D91" s="8"/>
      <c r="E91" s="8"/>
      <c r="F91" s="8"/>
      <c r="H91" s="8"/>
      <c r="I91" s="8"/>
      <c r="J91" s="8"/>
      <c r="N91" s="3">
        <f>N88+N87</f>
        <v>-568</v>
      </c>
      <c r="O91" s="3">
        <f t="shared" ref="O91:P91" si="60">O88+O87</f>
        <v>-360</v>
      </c>
      <c r="P91" s="3">
        <f t="shared" si="60"/>
        <v>-183</v>
      </c>
      <c r="Q91" s="3">
        <v>-300</v>
      </c>
      <c r="R91" s="3">
        <f>Q91*(1+R27)</f>
        <v>-333.00000000000006</v>
      </c>
      <c r="S91" s="3">
        <f t="shared" ref="S91:V91" si="61">R91*(1+S27)</f>
        <v>-369.63000000000011</v>
      </c>
      <c r="T91" s="3">
        <f t="shared" si="61"/>
        <v>-410.28930000000014</v>
      </c>
      <c r="U91" s="3">
        <f t="shared" si="61"/>
        <v>-455.42112300000019</v>
      </c>
      <c r="V91" s="3">
        <f t="shared" si="61"/>
        <v>-505.51744653000026</v>
      </c>
    </row>
    <row r="92" spans="1:114" s="3" customFormat="1" ht="15" x14ac:dyDescent="0.25">
      <c r="A92" s="1"/>
      <c r="B92" s="3" t="s">
        <v>29</v>
      </c>
      <c r="C92" s="8"/>
      <c r="D92" s="8"/>
      <c r="E92" s="8"/>
      <c r="F92" s="8"/>
      <c r="H92" s="8"/>
      <c r="I92" s="8"/>
      <c r="J92" s="8"/>
      <c r="N92" s="3">
        <f>N83+N91</f>
        <v>7270</v>
      </c>
      <c r="O92" s="3">
        <f t="shared" ref="O92:U92" si="62">O83+O91</f>
        <v>6942</v>
      </c>
      <c r="P92" s="3">
        <f t="shared" si="62"/>
        <v>7873</v>
      </c>
      <c r="Q92" s="3">
        <f t="shared" si="62"/>
        <v>9602.2564790513861</v>
      </c>
      <c r="R92" s="3">
        <f t="shared" si="62"/>
        <v>10931.023857612337</v>
      </c>
      <c r="S92" s="3">
        <f t="shared" si="62"/>
        <v>12418.874645542197</v>
      </c>
      <c r="T92" s="3">
        <f t="shared" si="62"/>
        <v>14084.25371067706</v>
      </c>
      <c r="U92" s="3">
        <f t="shared" si="62"/>
        <v>15947.733875252794</v>
      </c>
      <c r="V92" s="3">
        <f t="shared" ref="V92" si="63">V83+V91</f>
        <v>18032.262083522182</v>
      </c>
      <c r="W92" s="3">
        <f t="shared" ref="W92:BB92" si="64">V92*(1+$Y$86)</f>
        <v>18212.584704357403</v>
      </c>
      <c r="X92" s="3">
        <f t="shared" si="64"/>
        <v>18394.710551400978</v>
      </c>
      <c r="Y92" s="3">
        <f t="shared" si="64"/>
        <v>18578.657656914987</v>
      </c>
      <c r="Z92" s="3">
        <f t="shared" si="64"/>
        <v>18764.444233484137</v>
      </c>
      <c r="AA92" s="3">
        <f t="shared" si="64"/>
        <v>18952.088675818977</v>
      </c>
      <c r="AB92" s="3">
        <f t="shared" si="64"/>
        <v>19141.609562577167</v>
      </c>
      <c r="AC92" s="3">
        <f t="shared" si="64"/>
        <v>19333.02565820294</v>
      </c>
      <c r="AD92" s="3">
        <f t="shared" si="64"/>
        <v>19526.35591478497</v>
      </c>
      <c r="AE92" s="3">
        <f t="shared" si="64"/>
        <v>19721.61947393282</v>
      </c>
      <c r="AF92" s="3">
        <f t="shared" si="64"/>
        <v>19918.835668672149</v>
      </c>
      <c r="AG92" s="3">
        <f t="shared" si="64"/>
        <v>20118.024025358871</v>
      </c>
      <c r="AH92" s="3">
        <f t="shared" si="64"/>
        <v>20319.204265612461</v>
      </c>
      <c r="AI92" s="3">
        <f t="shared" si="64"/>
        <v>20522.396308268588</v>
      </c>
      <c r="AJ92" s="3">
        <f t="shared" si="64"/>
        <v>20727.620271351272</v>
      </c>
      <c r="AK92" s="3">
        <f t="shared" si="64"/>
        <v>20934.896474064786</v>
      </c>
      <c r="AL92" s="3">
        <f t="shared" si="64"/>
        <v>21144.245438805436</v>
      </c>
      <c r="AM92" s="3">
        <f t="shared" si="64"/>
        <v>21355.687893193492</v>
      </c>
      <c r="AN92" s="3">
        <f t="shared" si="64"/>
        <v>21569.244772125428</v>
      </c>
      <c r="AO92" s="3">
        <f t="shared" si="64"/>
        <v>21784.937219846684</v>
      </c>
      <c r="AP92" s="3">
        <f t="shared" si="64"/>
        <v>22002.786592045151</v>
      </c>
      <c r="AQ92" s="3">
        <f t="shared" si="64"/>
        <v>22222.814457965604</v>
      </c>
      <c r="AR92" s="3">
        <f t="shared" si="64"/>
        <v>22445.042602545262</v>
      </c>
      <c r="AS92" s="3">
        <f t="shared" si="64"/>
        <v>22669.493028570716</v>
      </c>
      <c r="AT92" s="3">
        <f t="shared" si="64"/>
        <v>22896.187958856422</v>
      </c>
      <c r="AU92" s="3">
        <f t="shared" si="64"/>
        <v>23125.149838444988</v>
      </c>
      <c r="AV92" s="3">
        <f t="shared" si="64"/>
        <v>23356.401336829436</v>
      </c>
      <c r="AW92" s="3">
        <f t="shared" si="64"/>
        <v>23589.96535019773</v>
      </c>
      <c r="AX92" s="3">
        <f t="shared" si="64"/>
        <v>23825.865003699706</v>
      </c>
      <c r="AY92" s="3">
        <f t="shared" si="64"/>
        <v>24064.123653736704</v>
      </c>
      <c r="AZ92" s="3">
        <f t="shared" si="64"/>
        <v>24304.764890274073</v>
      </c>
      <c r="BA92" s="3">
        <f t="shared" si="64"/>
        <v>24547.812539176815</v>
      </c>
      <c r="BB92" s="3">
        <f t="shared" si="64"/>
        <v>24793.290664568583</v>
      </c>
      <c r="BC92" s="3">
        <f t="shared" ref="BC92:CH92" si="65">BB92*(1+$Y$86)</f>
        <v>25041.223571214268</v>
      </c>
      <c r="BD92" s="3">
        <f t="shared" si="65"/>
        <v>25291.63580692641</v>
      </c>
      <c r="BE92" s="3">
        <f t="shared" si="65"/>
        <v>25544.552164995675</v>
      </c>
      <c r="BF92" s="3">
        <f t="shared" si="65"/>
        <v>25799.997686645631</v>
      </c>
      <c r="BG92" s="3">
        <f t="shared" si="65"/>
        <v>26057.997663512087</v>
      </c>
      <c r="BH92" s="3">
        <f t="shared" si="65"/>
        <v>26318.57764014721</v>
      </c>
      <c r="BI92" s="3">
        <f t="shared" si="65"/>
        <v>26581.763416548682</v>
      </c>
      <c r="BJ92" s="3">
        <f t="shared" si="65"/>
        <v>26847.581050714169</v>
      </c>
      <c r="BK92" s="3">
        <f t="shared" si="65"/>
        <v>27116.05686122131</v>
      </c>
      <c r="BL92" s="3">
        <f t="shared" si="65"/>
        <v>27387.217429833523</v>
      </c>
      <c r="BM92" s="3">
        <f t="shared" si="65"/>
        <v>27661.089604131859</v>
      </c>
      <c r="BN92" s="3">
        <f t="shared" si="65"/>
        <v>27937.700500173178</v>
      </c>
      <c r="BO92" s="3">
        <f t="shared" si="65"/>
        <v>28217.077505174911</v>
      </c>
      <c r="BP92" s="3">
        <f t="shared" si="65"/>
        <v>28499.24828022666</v>
      </c>
      <c r="BQ92" s="3">
        <f t="shared" si="65"/>
        <v>28784.240763028927</v>
      </c>
      <c r="BR92" s="3">
        <f t="shared" si="65"/>
        <v>29072.083170659218</v>
      </c>
      <c r="BS92" s="3">
        <f t="shared" si="65"/>
        <v>29362.80400236581</v>
      </c>
      <c r="BT92" s="3">
        <f t="shared" si="65"/>
        <v>29656.432042389468</v>
      </c>
      <c r="BU92" s="3">
        <f t="shared" si="65"/>
        <v>29952.996362813363</v>
      </c>
      <c r="BV92" s="3">
        <f t="shared" si="65"/>
        <v>30252.526326441497</v>
      </c>
      <c r="BW92" s="3">
        <f t="shared" si="65"/>
        <v>30555.051589705912</v>
      </c>
      <c r="BX92" s="3">
        <f t="shared" si="65"/>
        <v>30860.602105602971</v>
      </c>
      <c r="BY92" s="3">
        <f t="shared" si="65"/>
        <v>31169.208126659003</v>
      </c>
      <c r="BZ92" s="3">
        <f t="shared" si="65"/>
        <v>31480.900207925592</v>
      </c>
      <c r="CA92" s="3">
        <f t="shared" si="65"/>
        <v>31795.709210004847</v>
      </c>
      <c r="CB92" s="3">
        <f t="shared" si="65"/>
        <v>32113.666302104895</v>
      </c>
      <c r="CC92" s="3">
        <f t="shared" si="65"/>
        <v>32434.802965125946</v>
      </c>
      <c r="CD92" s="3">
        <f t="shared" si="65"/>
        <v>32759.150994777207</v>
      </c>
      <c r="CE92" s="3">
        <f t="shared" si="65"/>
        <v>33086.742504724978</v>
      </c>
      <c r="CF92" s="3">
        <f t="shared" si="65"/>
        <v>33417.609929772225</v>
      </c>
      <c r="CG92" s="3">
        <f t="shared" si="65"/>
        <v>33751.786029069946</v>
      </c>
      <c r="CH92" s="3">
        <f t="shared" si="65"/>
        <v>34089.303889360643</v>
      </c>
      <c r="CI92" s="3">
        <f t="shared" ref="CI92:DJ92" si="66">CH92*(1+$Y$86)</f>
        <v>34430.196928254249</v>
      </c>
      <c r="CJ92" s="3">
        <f t="shared" si="66"/>
        <v>34774.498897536789</v>
      </c>
      <c r="CK92" s="3">
        <f t="shared" si="66"/>
        <v>35122.243886512158</v>
      </c>
      <c r="CL92" s="3">
        <f t="shared" si="66"/>
        <v>35473.466325377281</v>
      </c>
      <c r="CM92" s="3">
        <f t="shared" si="66"/>
        <v>35828.200988631055</v>
      </c>
      <c r="CN92" s="3">
        <f t="shared" si="66"/>
        <v>36186.482998517364</v>
      </c>
      <c r="CO92" s="3">
        <f t="shared" si="66"/>
        <v>36548.347828502541</v>
      </c>
      <c r="CP92" s="3">
        <f t="shared" si="66"/>
        <v>36913.831306787564</v>
      </c>
      <c r="CQ92" s="3">
        <f t="shared" si="66"/>
        <v>37282.969619855437</v>
      </c>
      <c r="CR92" s="3">
        <f t="shared" si="66"/>
        <v>37655.799316053992</v>
      </c>
      <c r="CS92" s="3">
        <f t="shared" si="66"/>
        <v>38032.357309214531</v>
      </c>
      <c r="CT92" s="3">
        <f t="shared" si="66"/>
        <v>38412.680882306675</v>
      </c>
      <c r="CU92" s="3">
        <f t="shared" si="66"/>
        <v>38796.807691129739</v>
      </c>
      <c r="CV92" s="3">
        <f t="shared" si="66"/>
        <v>39184.775768041036</v>
      </c>
      <c r="CW92" s="3">
        <f t="shared" si="66"/>
        <v>39576.623525721443</v>
      </c>
      <c r="CX92" s="3">
        <f t="shared" si="66"/>
        <v>39972.389760978658</v>
      </c>
      <c r="CY92" s="3">
        <f t="shared" si="66"/>
        <v>40372.113658588445</v>
      </c>
      <c r="CZ92" s="3">
        <f t="shared" si="66"/>
        <v>40775.834795174327</v>
      </c>
      <c r="DA92" s="3">
        <f t="shared" si="66"/>
        <v>41183.593143126069</v>
      </c>
      <c r="DB92" s="3">
        <f t="shared" si="66"/>
        <v>41595.429074557331</v>
      </c>
      <c r="DC92" s="3">
        <f t="shared" si="66"/>
        <v>42011.383365302907</v>
      </c>
      <c r="DD92" s="3">
        <f t="shared" si="66"/>
        <v>42431.497198955934</v>
      </c>
      <c r="DE92" s="3">
        <f t="shared" si="66"/>
        <v>42855.812170945494</v>
      </c>
      <c r="DF92" s="3">
        <f t="shared" si="66"/>
        <v>43284.370292654952</v>
      </c>
      <c r="DG92" s="3">
        <f t="shared" si="66"/>
        <v>43717.2139955815</v>
      </c>
      <c r="DH92" s="3">
        <f t="shared" si="66"/>
        <v>44154.386135537316</v>
      </c>
      <c r="DI92" s="3">
        <f t="shared" si="66"/>
        <v>44595.929996892686</v>
      </c>
      <c r="DJ92" s="3">
        <f t="shared" si="66"/>
        <v>45041.889296861613</v>
      </c>
    </row>
    <row r="93" spans="1:114" x14ac:dyDescent="0.2">
      <c r="N93" s="4"/>
      <c r="O93" s="4"/>
      <c r="P93" s="4"/>
    </row>
  </sheetData>
  <hyperlinks>
    <hyperlink ref="A1" location="Sheet1!A1" display="Main" xr:uid="{23B09628-C10F-428D-B1F6-3DB7F50BA86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2025-04-18T01:52:05Z</dcterms:created>
  <dcterms:modified xsi:type="dcterms:W3CDTF">2025-05-29T22:14:15Z</dcterms:modified>
</cp:coreProperties>
</file>