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DC1EBD3-26CF-4AC1-B740-1991E253CD80}" xr6:coauthVersionLast="47" xr6:coauthVersionMax="47" xr10:uidLastSave="{00000000-0000-0000-0000-000000000000}"/>
  <bookViews>
    <workbookView xWindow="6045" yWindow="780" windowWidth="17745" windowHeight="14640" activeTab="1" xr2:uid="{0C2E6319-0109-49A4-A46A-629FFB4D718F}"/>
  </bookViews>
  <sheets>
    <sheet name="main" sheetId="1" r:id="rId1"/>
    <sheet name="model" sheetId="2" r:id="rId2"/>
    <sheet name="dru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O5" i="2" s="1"/>
  <c r="P5" i="2" s="1"/>
  <c r="Q5" i="2" s="1"/>
  <c r="R5" i="2" s="1"/>
  <c r="M5" i="2"/>
  <c r="U13" i="2"/>
  <c r="V13" i="2"/>
  <c r="T13" i="2"/>
  <c r="S3" i="2"/>
  <c r="T3" i="2" s="1"/>
  <c r="U3" i="2" s="1"/>
  <c r="V3" i="2" s="1"/>
  <c r="R3" i="2"/>
  <c r="N3" i="2"/>
  <c r="N12" i="2"/>
  <c r="N11" i="2"/>
  <c r="M11" i="2"/>
  <c r="M12" i="2"/>
  <c r="O11" i="2"/>
  <c r="P11" i="2" s="1"/>
  <c r="Q11" i="2" s="1"/>
  <c r="R11" i="2" s="1"/>
  <c r="S11" i="2" s="1"/>
  <c r="T11" i="2" s="1"/>
  <c r="O3" i="2"/>
  <c r="P3" i="2" s="1"/>
  <c r="Q3" i="2" s="1"/>
  <c r="S36" i="2"/>
  <c r="T36" i="2" s="1"/>
  <c r="U36" i="2" s="1"/>
  <c r="V36" i="2" s="1"/>
  <c r="R36" i="2"/>
  <c r="N36" i="2"/>
  <c r="O36" i="2"/>
  <c r="P36" i="2"/>
  <c r="Q36" i="2" s="1"/>
  <c r="M36" i="2"/>
  <c r="P35" i="2"/>
  <c r="Q35" i="2"/>
  <c r="R35" i="2"/>
  <c r="S35" i="2"/>
  <c r="T35" i="2"/>
  <c r="U35" i="2"/>
  <c r="V35" i="2"/>
  <c r="O35" i="2"/>
  <c r="M3" i="2"/>
  <c r="R13" i="2"/>
  <c r="S13" i="2" s="1"/>
  <c r="R2" i="2"/>
  <c r="S2" i="2"/>
  <c r="T2" i="2"/>
  <c r="U2" i="2"/>
  <c r="V2" i="2"/>
  <c r="R1" i="2"/>
  <c r="S1" i="2"/>
  <c r="T1" i="2"/>
  <c r="U1" i="2"/>
  <c r="V1" i="2"/>
  <c r="M2" i="2"/>
  <c r="L4" i="2"/>
  <c r="L6" i="2" s="1"/>
  <c r="L14" i="2" s="1"/>
  <c r="L12" i="2" s="1"/>
  <c r="O12" i="2" s="1"/>
  <c r="P12" i="2" s="1"/>
  <c r="Q12" i="2" s="1"/>
  <c r="R12" i="2" s="1"/>
  <c r="S12" i="2" s="1"/>
  <c r="T12" i="2" s="1"/>
  <c r="U12" i="2" s="1"/>
  <c r="V12" i="2" s="1"/>
  <c r="K41" i="2"/>
  <c r="K37" i="2" s="1"/>
  <c r="L41" i="2"/>
  <c r="L37" i="2" s="1"/>
  <c r="J41" i="2"/>
  <c r="J37" i="2" s="1"/>
  <c r="L32" i="2"/>
  <c r="K32" i="2"/>
  <c r="K22" i="2"/>
  <c r="K36" i="2" s="1"/>
  <c r="L22" i="2"/>
  <c r="L36" i="2" s="1"/>
  <c r="J22" i="2"/>
  <c r="J36" i="2" s="1"/>
  <c r="K17" i="2"/>
  <c r="L17" i="2"/>
  <c r="J17" i="2"/>
  <c r="J35" i="2" s="1"/>
  <c r="L47" i="2"/>
  <c r="L43" i="2" s="1"/>
  <c r="M24" i="2" s="1"/>
  <c r="K1" i="2"/>
  <c r="L1" i="2" s="1"/>
  <c r="M1" i="2" s="1"/>
  <c r="N1" i="2" s="1"/>
  <c r="O1" i="2" s="1"/>
  <c r="P1" i="2" s="1"/>
  <c r="Q1" i="2" s="1"/>
  <c r="D7" i="1"/>
  <c r="D6" i="1"/>
  <c r="D4" i="1"/>
  <c r="S5" i="2" l="1"/>
  <c r="R4" i="2"/>
  <c r="M4" i="2"/>
  <c r="R6" i="2"/>
  <c r="R14" i="2" s="1"/>
  <c r="R15" i="2" s="1"/>
  <c r="U11" i="2"/>
  <c r="M6" i="2"/>
  <c r="M14" i="2" s="1"/>
  <c r="N2" i="2"/>
  <c r="L23" i="2"/>
  <c r="L26" i="2" s="1"/>
  <c r="K23" i="2"/>
  <c r="K26" i="2" s="1"/>
  <c r="K28" i="2" s="1"/>
  <c r="K29" i="2" s="1"/>
  <c r="K33" i="2"/>
  <c r="L28" i="2"/>
  <c r="L29" i="2" s="1"/>
  <c r="L33" i="2"/>
  <c r="J23" i="2"/>
  <c r="J26" i="2" s="1"/>
  <c r="K35" i="2"/>
  <c r="L35" i="2"/>
  <c r="N35" i="2" s="1"/>
  <c r="S4" i="2" l="1"/>
  <c r="T5" i="2"/>
  <c r="R16" i="2"/>
  <c r="R17" i="2" s="1"/>
  <c r="M15" i="2"/>
  <c r="S6" i="2"/>
  <c r="S14" i="2" s="1"/>
  <c r="S15" i="2" s="1"/>
  <c r="V11" i="2"/>
  <c r="O2" i="2"/>
  <c r="N4" i="2"/>
  <c r="N6" i="2" s="1"/>
  <c r="N14" i="2" s="1"/>
  <c r="M16" i="2"/>
  <c r="M17" i="2" s="1"/>
  <c r="J28" i="2"/>
  <c r="J29" i="2" s="1"/>
  <c r="J33" i="2"/>
  <c r="U5" i="2" l="1"/>
  <c r="T4" i="2"/>
  <c r="T6" i="2" s="1"/>
  <c r="T14" i="2" s="1"/>
  <c r="T15" i="2" s="1"/>
  <c r="S32" i="2"/>
  <c r="S16" i="2"/>
  <c r="S17" i="2" s="1"/>
  <c r="T32" i="2"/>
  <c r="T16" i="2"/>
  <c r="T17" i="2" s="1"/>
  <c r="N15" i="2"/>
  <c r="N16" i="2" s="1"/>
  <c r="N17" i="2" s="1"/>
  <c r="M32" i="2"/>
  <c r="M22" i="2"/>
  <c r="M23" i="2" s="1"/>
  <c r="M26" i="2" s="1"/>
  <c r="M27" i="2" s="1"/>
  <c r="M28" i="2" s="1"/>
  <c r="O4" i="2"/>
  <c r="O6" i="2" s="1"/>
  <c r="O14" i="2" s="1"/>
  <c r="O15" i="2" s="1"/>
  <c r="P2" i="2"/>
  <c r="V5" i="2" l="1"/>
  <c r="V4" i="2" s="1"/>
  <c r="V6" i="2" s="1"/>
  <c r="V14" i="2" s="1"/>
  <c r="V15" i="2" s="1"/>
  <c r="U4" i="2"/>
  <c r="U6" i="2" s="1"/>
  <c r="U14" i="2" s="1"/>
  <c r="U15" i="2" s="1"/>
  <c r="U32" i="2"/>
  <c r="U16" i="2"/>
  <c r="U17" i="2" s="1"/>
  <c r="V32" i="2"/>
  <c r="V16" i="2"/>
  <c r="V17" i="2" s="1"/>
  <c r="M41" i="2"/>
  <c r="M37" i="2" s="1"/>
  <c r="M29" i="2"/>
  <c r="M43" i="2"/>
  <c r="N24" i="2" s="1"/>
  <c r="N32" i="2"/>
  <c r="N22" i="2"/>
  <c r="N23" i="2" s="1"/>
  <c r="N26" i="2" s="1"/>
  <c r="N27" i="2" s="1"/>
  <c r="N28" i="2" s="1"/>
  <c r="N41" i="2" s="1"/>
  <c r="Q2" i="2"/>
  <c r="Q4" i="2" s="1"/>
  <c r="Q6" i="2" s="1"/>
  <c r="Q14" i="2" s="1"/>
  <c r="Q15" i="2" s="1"/>
  <c r="R32" i="2" s="1"/>
  <c r="P4" i="2"/>
  <c r="P6" i="2" s="1"/>
  <c r="P14" i="2" s="1"/>
  <c r="P15" i="2" s="1"/>
  <c r="O16" i="2"/>
  <c r="O17" i="2" s="1"/>
  <c r="R22" i="2" l="1"/>
  <c r="R23" i="2" s="1"/>
  <c r="Q22" i="2"/>
  <c r="O32" i="2"/>
  <c r="O22" i="2"/>
  <c r="O23" i="2" s="1"/>
  <c r="N37" i="2"/>
  <c r="Q16" i="2"/>
  <c r="Q17" i="2" s="1"/>
  <c r="Q23" i="2" s="1"/>
  <c r="P16" i="2"/>
  <c r="P17" i="2" s="1"/>
  <c r="N29" i="2"/>
  <c r="N43" i="2"/>
  <c r="S22" i="2" l="1"/>
  <c r="S23" i="2" s="1"/>
  <c r="P32" i="2"/>
  <c r="Q32" i="2"/>
  <c r="P22" i="2"/>
  <c r="P23" i="2" s="1"/>
  <c r="O24" i="2"/>
  <c r="O26" i="2" s="1"/>
  <c r="O27" i="2" s="1"/>
  <c r="O28" i="2" s="1"/>
  <c r="O41" i="2" s="1"/>
  <c r="T22" i="2" l="1"/>
  <c r="T23" i="2" s="1"/>
  <c r="O37" i="2"/>
  <c r="O43" i="2"/>
  <c r="O29" i="2"/>
  <c r="V22" i="2" l="1"/>
  <c r="V23" i="2" s="1"/>
  <c r="U22" i="2"/>
  <c r="U23" i="2" s="1"/>
  <c r="P24" i="2"/>
  <c r="P26" i="2" s="1"/>
  <c r="P27" i="2" s="1"/>
  <c r="P28" i="2" s="1"/>
  <c r="P41" i="2" s="1"/>
  <c r="P37" i="2" l="1"/>
  <c r="P29" i="2"/>
  <c r="P43" i="2"/>
  <c r="Q24" i="2" l="1"/>
  <c r="Q26" i="2" s="1"/>
  <c r="Q27" i="2" s="1"/>
  <c r="Q28" i="2" s="1"/>
  <c r="Q41" i="2" l="1"/>
  <c r="Q43" i="2"/>
  <c r="Q29" i="2"/>
  <c r="R24" i="2" l="1"/>
  <c r="R26" i="2" s="1"/>
  <c r="Q37" i="2"/>
  <c r="R27" i="2" l="1"/>
  <c r="R28" i="2" s="1"/>
  <c r="R29" i="2" l="1"/>
  <c r="R41" i="2"/>
  <c r="R37" i="2" s="1"/>
  <c r="R43" i="2"/>
  <c r="S24" i="2" s="1"/>
  <c r="S26" i="2" s="1"/>
  <c r="S27" i="2" s="1"/>
  <c r="S28" i="2" s="1"/>
  <c r="S41" i="2" l="1"/>
  <c r="S37" i="2" s="1"/>
  <c r="S29" i="2"/>
  <c r="S43" i="2"/>
  <c r="T24" i="2" s="1"/>
  <c r="T26" i="2" s="1"/>
  <c r="T27" i="2" s="1"/>
  <c r="T28" i="2" s="1"/>
  <c r="T41" i="2" l="1"/>
  <c r="T37" i="2" s="1"/>
  <c r="T29" i="2"/>
  <c r="T43" i="2"/>
  <c r="U24" i="2" l="1"/>
  <c r="U26" i="2" s="1"/>
  <c r="U27" i="2" l="1"/>
  <c r="U28" i="2" s="1"/>
  <c r="U41" i="2" s="1"/>
  <c r="U37" i="2" s="1"/>
  <c r="U29" i="2" l="1"/>
  <c r="U43" i="2"/>
  <c r="V24" i="2" s="1"/>
  <c r="V26" i="2" s="1"/>
  <c r="V27" i="2" l="1"/>
  <c r="V28" i="2" s="1"/>
  <c r="V41" i="2" l="1"/>
  <c r="V29" i="2"/>
  <c r="W28" i="2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V43" i="2"/>
  <c r="V37" i="2" l="1"/>
  <c r="W41" i="2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Y33" i="2" s="1"/>
  <c r="Y34" i="2" s="1"/>
  <c r="Y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tc={9745B575-1256-46BF-8E98-3571E930C675}</author>
    <author>tc={B3970247-E22B-49D2-A098-4D7A947BD07E}</author>
  </authors>
  <commentList>
    <comment ref="B13" authorId="0" shapeId="0" xr:uid="{9745B575-1256-46BF-8E98-3571E930C675}">
      <text>
        <t>[Threaded comment]
Your version of Excel allows you to read this threaded comment; however, any edits to it will get removed if the file is opened in a newer version of Excel. Learn more: https://go.microsoft.com/fwlink/?linkid=870924
Comment:
    300-500mm annual rev potential</t>
      </text>
    </comment>
    <comment ref="M15" authorId="1" shapeId="0" xr:uid="{B3970247-E22B-49D2-A098-4D7A947BD07E}">
      <text>
        <t>[Threaded comment]
Your version of Excel allows you to read this threaded comment; however, any edits to it will get removed if the file is opened in a newer version of Excel. Learn more: https://go.microsoft.com/fwlink/?linkid=870924
Comment:
    490</t>
      </text>
    </comment>
  </commentList>
</comments>
</file>

<file path=xl/sharedStrings.xml><?xml version="1.0" encoding="utf-8"?>
<sst xmlns="http://schemas.openxmlformats.org/spreadsheetml/2006/main" count="61" uniqueCount="54">
  <si>
    <t>ADMA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</si>
  <si>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</si>
  <si>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</si>
  <si>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</si>
  <si>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</si>
  <si>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</si>
  <si>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</si>
  <si>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</si>
  <si>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</si>
  <si>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</si>
  <si>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</si>
  <si>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</si>
  <si>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</si>
  <si>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</si>
  <si>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</si>
  <si>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COGS</t>
  </si>
  <si>
    <t>Gross Profit</t>
  </si>
  <si>
    <t>R&amp;D</t>
  </si>
  <si>
    <t>Plasma Center OPEX</t>
  </si>
  <si>
    <t>Amort</t>
  </si>
  <si>
    <t>SG&amp;A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</si>
  <si>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</si>
  <si>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</si>
  <si>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</si>
  <si>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</si>
  <si>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</si>
  <si>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</si>
  <si>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</si>
  <si>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</si>
  <si>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</si>
  <si>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Tax Rate</t>
  </si>
  <si>
    <t>Gross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</si>
  <si>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</si>
  <si>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</si>
  <si>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</si>
  <si>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</si>
  <si>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</si>
  <si>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</si>
  <si>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</si>
  <si>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</si>
  <si>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</si>
  <si>
    <t>TAM penetration rate</t>
  </si>
  <si>
    <t>Asceniv</t>
  </si>
  <si>
    <t>OPEX Margin</t>
  </si>
  <si>
    <t>FCF Margin</t>
  </si>
  <si>
    <t>SG-001</t>
  </si>
  <si>
    <t>Asceniv TAM</t>
  </si>
  <si>
    <t>SG-001 TAM</t>
  </si>
  <si>
    <t>SG-001 penetration rate</t>
  </si>
  <si>
    <t>Bivigam</t>
  </si>
  <si>
    <t>Nabi-HB</t>
  </si>
  <si>
    <t>Asceniv Revenue</t>
  </si>
  <si>
    <t>Asceniv Cost</t>
  </si>
  <si>
    <t>TAM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</si>
</sst>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19050</xdr:colOff>
      <xdr:row>52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8C538D8-2055-A094-6F09-7ABA3158C4FD}"/>
            </a:ext>
          </a:extLst>
        </xdr:cNvPr>
        <xdr:cNvCxnSpPr/>
      </xdr:nvCxnSpPr>
      <xdr:spPr>
        <a:xfrm flipH="1">
          <a:off x="8639175" y="0"/>
          <a:ext cx="19050" cy="9077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0</xdr:row>
      <xdr:rowOff>9525</xdr:rowOff>
    </xdr:from>
    <xdr:to>
      <xdr:col>7</xdr:col>
      <xdr:colOff>0</xdr:colOff>
      <xdr:row>52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E6B39C7-2A49-4B62-8A9B-61820453DB7C}"/>
            </a:ext>
          </a:extLst>
        </xdr:cNvPr>
        <xdr:cNvCxnSpPr/>
      </xdr:nvCxnSpPr>
      <xdr:spPr>
        <a:xfrm flipH="1">
          <a:off x="4400550" y="9525"/>
          <a:ext cx="38100" cy="6858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32E7881-54C3-4906-ABFE-AE9215405C4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5-05-10T00:44:05.65" personId="{632E7881-54C3-4906-ABFE-AE9215405C4F}" id="{9745B575-1256-46BF-8E98-3571E930C675}">
    <text>300-500mm annual rev potential</text>
  </threadedComment>
  <threadedComment ref="M15" dT="2025-05-10T01:03:52.40" personId="{632E7881-54C3-4906-ABFE-AE9215405C4F}" id="{B3970247-E22B-49D2-A098-4D7A947BD07E}">
    <text>490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2945-0EEE-41F9-8D71-33E0ABE714D8}">
  <dimension ref="A1:E7"/>
  <sheetViews>
    <sheetView zoomScale="235" zoomScaleNormal="235" workbookViewId="0"/>
  </sheetViews>
  <sheetFormatPr defaultRowHeight="14.25" x14ac:dyDescent="0.2"/>
  <sheetData>
    <row r="1" spans="1:5" ht="15" x14ac:dyDescent="0.25">
      <c r="A1" s="1" t="s">
        <v>0</v>
      </c>
    </row>
    <row r="2" spans="1:5" x14ac:dyDescent="0.2">
      <c r="C2" t="s">
        <v>1</v>
      </c>
      <c r="D2" s="2">
        <v>20.04</v>
      </c>
    </row>
    <row r="3" spans="1:5" x14ac:dyDescent="0.2">
      <c r="C3" t="s">
        <v>2</v>
      </c>
      <c r="D3" s="2">
        <v>238.73400000000001</v>
      </c>
      <c r="E3" t="s">
        <v>7</v>
      </c>
    </row>
    <row r="4" spans="1:5" x14ac:dyDescent="0.2">
      <c r="C4" t="s">
        <v>3</v>
      </c>
      <c r="D4" s="2">
        <f>D3*D2</f>
        <v>4784.2293600000003</v>
      </c>
    </row>
    <row r="5" spans="1:5" x14ac:dyDescent="0.2">
      <c r="C5" t="s">
        <v>4</v>
      </c>
      <c r="D5" s="2">
        <v>71.625</v>
      </c>
      <c r="E5" t="s">
        <v>7</v>
      </c>
    </row>
    <row r="6" spans="1:5" x14ac:dyDescent="0.2">
      <c r="C6" t="s">
        <v>5</v>
      </c>
      <c r="D6" s="2">
        <f>72.53+1.5+1.3+8.3</f>
        <v>83.63</v>
      </c>
      <c r="E6" t="s">
        <v>7</v>
      </c>
    </row>
    <row r="7" spans="1:5" x14ac:dyDescent="0.2">
      <c r="C7" t="s">
        <v>6</v>
      </c>
      <c r="D7" s="2">
        <f>D4+D6-D5</f>
        <v>4796.2343600000004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FA2-4BF0-43D7-A899-AF9ED02D209D}">
  <dimension ref="A1:DH47"/>
  <sheetViews>
    <sheetView tabSelected="1" workbookViewId="0">
      <pane xSplit="2" ySplit="1" topLeftCell="P7" activePane="bottomRight" state="frozen"/>
      <selection pane="topRight" activeCell="C1" sqref="C1"/>
      <selection pane="bottomLeft" activeCell="A2" sqref="A2"/>
      <selection pane="bottomRight" activeCell="Y32" sqref="Y32"/>
    </sheetView>
  </sheetViews>
  <sheetFormatPr defaultRowHeight="14.25" x14ac:dyDescent="0.2"/>
  <cols>
    <col min="1" max="1" width="4.25" style="2" customWidth="1"/>
    <col min="2" max="2" width="18.25" style="2" customWidth="1"/>
    <col min="3" max="11" width="9" style="2"/>
    <col min="12" max="12" width="9.875" style="2" customWidth="1"/>
    <col min="13" max="16384" width="9" style="2"/>
  </cols>
  <sheetData>
    <row r="1" spans="1:22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</v>
      </c>
      <c r="H1" s="2" t="s">
        <v>14</v>
      </c>
      <c r="J1" s="5">
        <v>2022</v>
      </c>
      <c r="K1" s="5">
        <f>J1+1</f>
        <v>2023</v>
      </c>
      <c r="L1" s="5">
        <f t="shared" ref="L1:V1" si="0">K1+1</f>
        <v>2024</v>
      </c>
      <c r="M1" s="5">
        <f t="shared" si="0"/>
        <v>2025</v>
      </c>
      <c r="N1" s="5">
        <f t="shared" si="0"/>
        <v>2026</v>
      </c>
      <c r="O1" s="5">
        <f t="shared" si="0"/>
        <v>2027</v>
      </c>
      <c r="P1" s="5">
        <f t="shared" si="0"/>
        <v>2028</v>
      </c>
      <c r="Q1" s="5">
        <f t="shared" si="0"/>
        <v>2029</v>
      </c>
      <c r="R1" s="5">
        <f t="shared" si="0"/>
        <v>2030</v>
      </c>
      <c r="S1" s="5">
        <f t="shared" si="0"/>
        <v>2031</v>
      </c>
      <c r="T1" s="5">
        <f t="shared" si="0"/>
        <v>2032</v>
      </c>
      <c r="U1" s="5">
        <f t="shared" si="0"/>
        <v>2033</v>
      </c>
      <c r="V1" s="5">
        <f t="shared" si="0"/>
        <v>2034</v>
      </c>
    </row>
    <row r="2" spans="1:22" x14ac:dyDescent="0.2">
      <c r="A2" s="3"/>
      <c r="B2" s="2" t="s">
        <v>46</v>
      </c>
      <c r="J2" s="5"/>
      <c r="K2" s="5"/>
      <c r="L2" s="2">
        <v>25000</v>
      </c>
      <c r="M2" s="2">
        <f>L2*1.07</f>
        <v>26750</v>
      </c>
      <c r="N2" s="2">
        <f t="shared" ref="N2:Q2" si="1">M2*1.07</f>
        <v>28622.5</v>
      </c>
      <c r="O2" s="2">
        <f t="shared" si="1"/>
        <v>30626.075000000001</v>
      </c>
      <c r="P2" s="2">
        <f t="shared" si="1"/>
        <v>32769.900250000006</v>
      </c>
      <c r="Q2" s="2">
        <f t="shared" si="1"/>
        <v>35063.793267500012</v>
      </c>
      <c r="R2" s="2">
        <f t="shared" ref="R2" si="2">Q2*1.07</f>
        <v>37518.258796225018</v>
      </c>
      <c r="S2" s="2">
        <f t="shared" ref="S2" si="3">R2*1.07</f>
        <v>40144.536911960771</v>
      </c>
      <c r="T2" s="2">
        <f t="shared" ref="T2" si="4">S2*1.07</f>
        <v>42954.65449579803</v>
      </c>
      <c r="U2" s="2">
        <f t="shared" ref="U2" si="5">T2*1.07</f>
        <v>45961.480310503895</v>
      </c>
      <c r="V2" s="2">
        <f t="shared" ref="V2" si="6">U2*1.07</f>
        <v>49178.783932239174</v>
      </c>
    </row>
    <row r="3" spans="1:22" x14ac:dyDescent="0.2">
      <c r="A3" s="3"/>
      <c r="B3" s="2" t="s">
        <v>41</v>
      </c>
      <c r="J3" s="5"/>
      <c r="K3" s="5"/>
      <c r="L3" s="8">
        <v>0.03</v>
      </c>
      <c r="M3" s="8">
        <f>L3*2</f>
        <v>0.06</v>
      </c>
      <c r="N3" s="8">
        <f>M3*3</f>
        <v>0.18</v>
      </c>
      <c r="O3" s="8">
        <f>N3*1.5</f>
        <v>0.27</v>
      </c>
      <c r="P3" s="8">
        <f t="shared" ref="P3:Q3" si="7">O3*1.5</f>
        <v>0.40500000000000003</v>
      </c>
      <c r="Q3" s="8">
        <f t="shared" si="7"/>
        <v>0.60750000000000004</v>
      </c>
      <c r="R3" s="8">
        <f>Q3*1.05</f>
        <v>0.63787500000000008</v>
      </c>
      <c r="S3" s="8">
        <f t="shared" ref="S3:V3" si="8">R3*1.05</f>
        <v>0.66976875000000013</v>
      </c>
      <c r="T3" s="8">
        <f t="shared" si="8"/>
        <v>0.70325718750000021</v>
      </c>
      <c r="U3" s="8">
        <f t="shared" si="8"/>
        <v>0.73842004687500029</v>
      </c>
      <c r="V3" s="8">
        <f t="shared" si="8"/>
        <v>0.77534104921875036</v>
      </c>
    </row>
    <row r="4" spans="1:22" x14ac:dyDescent="0.2">
      <c r="A4" s="3"/>
      <c r="B4" s="2" t="s">
        <v>53</v>
      </c>
      <c r="J4" s="5"/>
      <c r="K4" s="5"/>
      <c r="L4" s="2">
        <f t="shared" ref="L4:Q4" si="9">L2*L5/1000000</f>
        <v>125</v>
      </c>
      <c r="M4" s="2">
        <f t="shared" si="9"/>
        <v>136.42500000000001</v>
      </c>
      <c r="N4" s="2">
        <f t="shared" si="9"/>
        <v>148.89424500000001</v>
      </c>
      <c r="O4" s="2">
        <f t="shared" si="9"/>
        <v>162.50317899300001</v>
      </c>
      <c r="P4" s="2">
        <f t="shared" si="9"/>
        <v>177.3559695529602</v>
      </c>
      <c r="Q4" s="2">
        <f t="shared" si="9"/>
        <v>193.5663051701008</v>
      </c>
      <c r="R4" s="2">
        <f t="shared" ref="R4" si="10">R2*R5/1000000</f>
        <v>211.25826546264807</v>
      </c>
      <c r="S4" s="2">
        <f t="shared" ref="S4" si="11">S2*S5/1000000</f>
        <v>230.56727092593411</v>
      </c>
      <c r="T4" s="2">
        <f t="shared" ref="T4" si="12">T2*T5/1000000</f>
        <v>251.64111948856453</v>
      </c>
      <c r="U4" s="2">
        <f t="shared" ref="U4" si="13">U2*U5/1000000</f>
        <v>274.64111780981932</v>
      </c>
      <c r="V4" s="2">
        <f t="shared" ref="V4" si="14">V2*V5/1000000</f>
        <v>299.74331597763688</v>
      </c>
    </row>
    <row r="5" spans="1:22" x14ac:dyDescent="0.2">
      <c r="A5" s="3"/>
      <c r="B5" s="2" t="s">
        <v>52</v>
      </c>
      <c r="J5" s="5"/>
      <c r="K5" s="5"/>
      <c r="L5" s="2">
        <v>5000</v>
      </c>
      <c r="M5" s="2">
        <f>L5*1.02</f>
        <v>5100</v>
      </c>
      <c r="N5" s="2">
        <f t="shared" ref="N5:V5" si="15">M5*1.02</f>
        <v>5202</v>
      </c>
      <c r="O5" s="2">
        <f t="shared" si="15"/>
        <v>5306.04</v>
      </c>
      <c r="P5" s="2">
        <f t="shared" si="15"/>
        <v>5412.1607999999997</v>
      </c>
      <c r="Q5" s="2">
        <f t="shared" si="15"/>
        <v>5520.4040159999995</v>
      </c>
      <c r="R5" s="2">
        <f t="shared" si="15"/>
        <v>5630.8120963199999</v>
      </c>
      <c r="S5" s="2">
        <f t="shared" si="15"/>
        <v>5743.4283382464</v>
      </c>
      <c r="T5" s="2">
        <f t="shared" si="15"/>
        <v>5858.2969050113279</v>
      </c>
      <c r="U5" s="2">
        <f t="shared" si="15"/>
        <v>5975.4628431115543</v>
      </c>
      <c r="V5" s="2">
        <f t="shared" si="15"/>
        <v>6094.9720999737856</v>
      </c>
    </row>
    <row r="6" spans="1:22" x14ac:dyDescent="0.2">
      <c r="A6" s="3"/>
      <c r="B6" s="2" t="s">
        <v>51</v>
      </c>
      <c r="J6" s="5"/>
      <c r="K6" s="5"/>
      <c r="L6" s="2">
        <f t="shared" ref="L6:Q6" si="16">L4*L3</f>
        <v>3.75</v>
      </c>
      <c r="M6" s="2">
        <f t="shared" si="16"/>
        <v>8.1855000000000011</v>
      </c>
      <c r="N6" s="2">
        <f t="shared" si="16"/>
        <v>26.800964100000002</v>
      </c>
      <c r="O6" s="2">
        <f t="shared" si="16"/>
        <v>43.875858328110006</v>
      </c>
      <c r="P6" s="2">
        <f t="shared" si="16"/>
        <v>71.829167668948884</v>
      </c>
      <c r="Q6" s="2">
        <f t="shared" si="16"/>
        <v>117.59153039083624</v>
      </c>
      <c r="R6" s="2">
        <f t="shared" ref="R6:V6" si="17">R4*R3</f>
        <v>134.75636608198664</v>
      </c>
      <c r="S6" s="2">
        <f t="shared" si="17"/>
        <v>154.42675283897427</v>
      </c>
      <c r="T6" s="2">
        <f t="shared" si="17"/>
        <v>176.96842595087938</v>
      </c>
      <c r="U6" s="2">
        <f t="shared" si="17"/>
        <v>202.80050708692926</v>
      </c>
      <c r="V6" s="2">
        <f t="shared" si="17"/>
        <v>232.40329710640839</v>
      </c>
    </row>
    <row r="7" spans="1:22" x14ac:dyDescent="0.2">
      <c r="A7" s="3"/>
      <c r="J7" s="5"/>
      <c r="K7" s="5"/>
    </row>
    <row r="8" spans="1:22" x14ac:dyDescent="0.2">
      <c r="A8" s="3"/>
      <c r="B8" s="2" t="s">
        <v>47</v>
      </c>
      <c r="J8" s="5"/>
      <c r="K8" s="5"/>
    </row>
    <row r="9" spans="1:22" x14ac:dyDescent="0.2">
      <c r="A9" s="3"/>
      <c r="B9" s="2" t="s">
        <v>48</v>
      </c>
      <c r="J9" s="5"/>
      <c r="K9" s="5"/>
    </row>
    <row r="10" spans="1:22" x14ac:dyDescent="0.2">
      <c r="A10" s="3"/>
      <c r="J10" s="5"/>
      <c r="K10" s="5"/>
      <c r="L10" s="8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">
      <c r="A11" s="3"/>
      <c r="B11" s="2" t="s">
        <v>50</v>
      </c>
      <c r="J11" s="5"/>
      <c r="K11" s="5"/>
      <c r="L11" s="2">
        <v>50</v>
      </c>
      <c r="M11" s="5">
        <f>L11*1.6</f>
        <v>80</v>
      </c>
      <c r="N11" s="5">
        <f>M11*1.6</f>
        <v>128</v>
      </c>
      <c r="O11" s="5">
        <f t="shared" ref="O11:Q11" si="18">N11*1.07</f>
        <v>136.96</v>
      </c>
      <c r="P11" s="5">
        <f t="shared" si="18"/>
        <v>146.5472</v>
      </c>
      <c r="Q11" s="5">
        <f t="shared" si="18"/>
        <v>156.80550400000001</v>
      </c>
      <c r="R11" s="5">
        <f t="shared" ref="R11:V11" si="19">Q11*1.07</f>
        <v>167.78188928000003</v>
      </c>
      <c r="S11" s="5">
        <f t="shared" si="19"/>
        <v>179.52662152960005</v>
      </c>
      <c r="T11" s="5">
        <f t="shared" si="19"/>
        <v>192.09348503667206</v>
      </c>
      <c r="U11" s="5">
        <f t="shared" si="19"/>
        <v>205.54002898923912</v>
      </c>
      <c r="V11" s="5">
        <f t="shared" si="19"/>
        <v>219.92783101848588</v>
      </c>
    </row>
    <row r="12" spans="1:22" x14ac:dyDescent="0.2">
      <c r="A12" s="3"/>
      <c r="B12" s="2" t="s">
        <v>49</v>
      </c>
      <c r="J12" s="5"/>
      <c r="K12" s="5"/>
      <c r="L12" s="2">
        <f>L15-L11-L14</f>
        <v>372.7</v>
      </c>
      <c r="M12" s="5">
        <f>L12*1.1</f>
        <v>409.97</v>
      </c>
      <c r="N12" s="5">
        <f>M12*1.1</f>
        <v>450.96700000000004</v>
      </c>
      <c r="O12" s="5">
        <f t="shared" ref="O12:Q12" si="20">N12*1.07</f>
        <v>482.53469000000007</v>
      </c>
      <c r="P12" s="5">
        <f t="shared" si="20"/>
        <v>516.31211830000007</v>
      </c>
      <c r="Q12" s="5">
        <f t="shared" si="20"/>
        <v>552.45396658100015</v>
      </c>
      <c r="R12" s="2">
        <f>Q12*1.02</f>
        <v>563.50304591262011</v>
      </c>
      <c r="S12" s="2">
        <f t="shared" ref="S12:V12" si="21">R12*1.02</f>
        <v>574.77310683087251</v>
      </c>
      <c r="T12" s="2">
        <f t="shared" si="21"/>
        <v>586.26856896748995</v>
      </c>
      <c r="U12" s="2">
        <f t="shared" si="21"/>
        <v>597.99394034683974</v>
      </c>
      <c r="V12" s="2">
        <f t="shared" si="21"/>
        <v>609.95381915377652</v>
      </c>
    </row>
    <row r="13" spans="1:22" x14ac:dyDescent="0.2">
      <c r="A13" s="3"/>
      <c r="B13" s="2" t="s">
        <v>45</v>
      </c>
      <c r="J13" s="5"/>
      <c r="K13" s="5"/>
      <c r="L13" s="6"/>
      <c r="M13" s="5"/>
      <c r="N13" s="5"/>
      <c r="O13" s="5">
        <v>50</v>
      </c>
      <c r="P13" s="5">
        <v>100</v>
      </c>
      <c r="Q13" s="5">
        <v>200</v>
      </c>
      <c r="R13" s="2">
        <f>Q13*1.5</f>
        <v>300</v>
      </c>
      <c r="S13" s="2">
        <f t="shared" ref="S13" si="22">R13*1.5</f>
        <v>450</v>
      </c>
      <c r="T13" s="2">
        <f>S13*1.1</f>
        <v>495.00000000000006</v>
      </c>
      <c r="U13" s="2">
        <f t="shared" ref="U13:V13" si="23">T13*1.1</f>
        <v>544.50000000000011</v>
      </c>
      <c r="V13" s="2">
        <f t="shared" si="23"/>
        <v>598.95000000000016</v>
      </c>
    </row>
    <row r="14" spans="1:22" x14ac:dyDescent="0.2">
      <c r="A14" s="3"/>
      <c r="B14" s="2" t="s">
        <v>42</v>
      </c>
      <c r="J14" s="5"/>
      <c r="K14" s="5"/>
      <c r="L14" s="5">
        <f>L6</f>
        <v>3.75</v>
      </c>
      <c r="M14" s="5">
        <f t="shared" ref="M14:V14" si="24">M6</f>
        <v>8.1855000000000011</v>
      </c>
      <c r="N14" s="5">
        <f t="shared" si="24"/>
        <v>26.800964100000002</v>
      </c>
      <c r="O14" s="5">
        <f t="shared" si="24"/>
        <v>43.875858328110006</v>
      </c>
      <c r="P14" s="5">
        <f t="shared" si="24"/>
        <v>71.829167668948884</v>
      </c>
      <c r="Q14" s="5">
        <f t="shared" si="24"/>
        <v>117.59153039083624</v>
      </c>
      <c r="R14" s="5">
        <f t="shared" si="24"/>
        <v>134.75636608198664</v>
      </c>
      <c r="S14" s="5">
        <f t="shared" si="24"/>
        <v>154.42675283897427</v>
      </c>
      <c r="T14" s="5">
        <f t="shared" si="24"/>
        <v>176.96842595087938</v>
      </c>
      <c r="U14" s="5">
        <f t="shared" si="24"/>
        <v>202.80050708692926</v>
      </c>
      <c r="V14" s="5">
        <f t="shared" si="24"/>
        <v>232.40329710640839</v>
      </c>
    </row>
    <row r="15" spans="1:22" s="4" customFormat="1" ht="15" x14ac:dyDescent="0.25">
      <c r="A15" s="2"/>
      <c r="B15" s="4" t="s">
        <v>9</v>
      </c>
      <c r="J15" s="4">
        <v>154.1</v>
      </c>
      <c r="K15" s="4">
        <v>258.2</v>
      </c>
      <c r="L15" s="4">
        <v>426.45</v>
      </c>
      <c r="M15" s="4">
        <f>SUM(M11:M14)</f>
        <v>498.15550000000002</v>
      </c>
      <c r="N15" s="4">
        <f>SUM(N11:N14)</f>
        <v>605.76796410000009</v>
      </c>
      <c r="O15" s="4">
        <f t="shared" ref="O15:Q15" si="25">SUM(O11:O14)</f>
        <v>713.37054832811009</v>
      </c>
      <c r="P15" s="4">
        <f t="shared" si="25"/>
        <v>834.68848596894895</v>
      </c>
      <c r="Q15" s="4">
        <f t="shared" si="25"/>
        <v>1026.8510009718364</v>
      </c>
      <c r="R15" s="4">
        <f t="shared" ref="R15" si="26">SUM(R11:R14)</f>
        <v>1166.0413012746069</v>
      </c>
      <c r="S15" s="4">
        <f t="shared" ref="S15" si="27">SUM(S11:S14)</f>
        <v>1358.7264811994469</v>
      </c>
      <c r="T15" s="4">
        <f t="shared" ref="T15" si="28">SUM(T11:T14)</f>
        <v>1450.3304799550415</v>
      </c>
      <c r="U15" s="4">
        <f t="shared" ref="U15" si="29">SUM(U11:U14)</f>
        <v>1550.834476423008</v>
      </c>
      <c r="V15" s="4">
        <f t="shared" ref="V15" si="30">SUM(V11:V14)</f>
        <v>1661.2349472786709</v>
      </c>
    </row>
    <row r="16" spans="1:22" x14ac:dyDescent="0.2">
      <c r="B16" s="2" t="s">
        <v>15</v>
      </c>
      <c r="J16" s="2">
        <v>118.8</v>
      </c>
      <c r="K16" s="2">
        <v>169.3</v>
      </c>
      <c r="L16" s="2">
        <v>206.9</v>
      </c>
      <c r="M16" s="2">
        <f>M15*(1-M35)</f>
        <v>179.33598000000001</v>
      </c>
      <c r="N16" s="2">
        <f t="shared" ref="N16:Q16" si="31">N15*(1-N35)</f>
        <v>198.6918922248</v>
      </c>
      <c r="O16" s="2">
        <f t="shared" si="31"/>
        <v>229.19168976685515</v>
      </c>
      <c r="P16" s="2">
        <f t="shared" si="31"/>
        <v>262.50351908013539</v>
      </c>
      <c r="Q16" s="2">
        <f t="shared" si="31"/>
        <v>315.89810893350142</v>
      </c>
      <c r="R16" s="2">
        <f t="shared" ref="R16:V16" si="32">R15*(1-R35)</f>
        <v>350.64506663232015</v>
      </c>
      <c r="S16" s="2">
        <f t="shared" si="32"/>
        <v>399.08683548328105</v>
      </c>
      <c r="T16" s="2">
        <f t="shared" si="32"/>
        <v>415.74950012896056</v>
      </c>
      <c r="U16" s="2">
        <f t="shared" si="32"/>
        <v>433.49707430368244</v>
      </c>
      <c r="V16" s="2">
        <f t="shared" si="32"/>
        <v>452.38798894354113</v>
      </c>
    </row>
    <row r="17" spans="1:112" x14ac:dyDescent="0.2">
      <c r="B17" s="2" t="s">
        <v>16</v>
      </c>
      <c r="J17" s="2">
        <f>J15-J16</f>
        <v>35.299999999999997</v>
      </c>
      <c r="K17" s="2">
        <f t="shared" ref="K17:L17" si="33">K15-K16</f>
        <v>88.899999999999977</v>
      </c>
      <c r="L17" s="2">
        <f t="shared" si="33"/>
        <v>219.54999999999998</v>
      </c>
      <c r="M17" s="2">
        <f t="shared" ref="M17" si="34">M15-M16</f>
        <v>318.81952000000001</v>
      </c>
      <c r="N17" s="2">
        <f t="shared" ref="N17" si="35">N15-N16</f>
        <v>407.07607187520011</v>
      </c>
      <c r="O17" s="2">
        <f t="shared" ref="O17" si="36">O15-O16</f>
        <v>484.17885856125497</v>
      </c>
      <c r="P17" s="2">
        <f t="shared" ref="P17" si="37">P15-P16</f>
        <v>572.18496688881351</v>
      </c>
      <c r="Q17" s="2">
        <f t="shared" ref="Q17" si="38">Q15-Q16</f>
        <v>710.95289203833499</v>
      </c>
      <c r="R17" s="2">
        <f t="shared" ref="R17:V17" si="39">R15-R16</f>
        <v>815.3962346422868</v>
      </c>
      <c r="S17" s="2">
        <f t="shared" si="39"/>
        <v>959.63964571616589</v>
      </c>
      <c r="T17" s="2">
        <f t="shared" si="39"/>
        <v>1034.5809798260809</v>
      </c>
      <c r="U17" s="2">
        <f t="shared" si="39"/>
        <v>1117.3374021193256</v>
      </c>
      <c r="V17" s="2">
        <f t="shared" si="39"/>
        <v>1208.8469583351298</v>
      </c>
    </row>
    <row r="18" spans="1:112" x14ac:dyDescent="0.2">
      <c r="B18" s="2" t="s">
        <v>17</v>
      </c>
      <c r="J18" s="2">
        <v>3.6139999999999999</v>
      </c>
      <c r="K18" s="2">
        <v>3.3</v>
      </c>
      <c r="L18" s="2">
        <v>1.8129999999999999</v>
      </c>
    </row>
    <row r="19" spans="1:112" x14ac:dyDescent="0.2">
      <c r="B19" s="2" t="s">
        <v>18</v>
      </c>
      <c r="J19" s="2">
        <v>17.84</v>
      </c>
      <c r="K19" s="2">
        <v>4.3</v>
      </c>
      <c r="L19" s="2">
        <v>4.25</v>
      </c>
    </row>
    <row r="20" spans="1:112" x14ac:dyDescent="0.2">
      <c r="B20" s="2" t="s">
        <v>19</v>
      </c>
      <c r="J20" s="2">
        <v>0.7</v>
      </c>
      <c r="K20" s="2">
        <v>0.7</v>
      </c>
      <c r="L20" s="2">
        <v>0.4</v>
      </c>
    </row>
    <row r="21" spans="1:112" x14ac:dyDescent="0.2">
      <c r="B21" s="2" t="s">
        <v>20</v>
      </c>
      <c r="J21" s="2">
        <v>52.5</v>
      </c>
      <c r="K21" s="2">
        <v>59</v>
      </c>
      <c r="L21" s="2">
        <v>74.099999999999994</v>
      </c>
    </row>
    <row r="22" spans="1:112" x14ac:dyDescent="0.2">
      <c r="B22" s="2" t="s">
        <v>21</v>
      </c>
      <c r="J22" s="2">
        <f>SUM(J18:J21)</f>
        <v>74.653999999999996</v>
      </c>
      <c r="K22" s="2">
        <f t="shared" ref="K22:L22" si="40">SUM(K18:K21)</f>
        <v>67.3</v>
      </c>
      <c r="L22" s="2">
        <f t="shared" si="40"/>
        <v>80.562999999999988</v>
      </c>
      <c r="M22" s="2">
        <f>M15*M36</f>
        <v>92.227092309930811</v>
      </c>
      <c r="N22" s="2">
        <f t="shared" ref="N22:Q22" si="41">N15*N36</f>
        <v>109.90715466271187</v>
      </c>
      <c r="O22" s="2">
        <f t="shared" si="41"/>
        <v>126.84136698668105</v>
      </c>
      <c r="P22" s="2">
        <f t="shared" si="41"/>
        <v>145.44414293545523</v>
      </c>
      <c r="Q22" s="2">
        <f t="shared" si="41"/>
        <v>175.34981845793976</v>
      </c>
      <c r="R22" s="2">
        <f t="shared" ref="R22:V22" si="42">R15*R36</f>
        <v>199.11859685529006</v>
      </c>
      <c r="S22" s="2">
        <f t="shared" si="42"/>
        <v>232.02240791198577</v>
      </c>
      <c r="T22" s="2">
        <f t="shared" si="42"/>
        <v>247.66512972519206</v>
      </c>
      <c r="U22" s="2">
        <f t="shared" si="42"/>
        <v>264.82765624391402</v>
      </c>
      <c r="V22" s="2">
        <f t="shared" si="42"/>
        <v>283.68015042650723</v>
      </c>
    </row>
    <row r="23" spans="1:112" x14ac:dyDescent="0.2">
      <c r="B23" s="2" t="s">
        <v>22</v>
      </c>
      <c r="J23" s="2">
        <f>J17-J22</f>
        <v>-39.353999999999999</v>
      </c>
      <c r="K23" s="2">
        <f t="shared" ref="K23:L23" si="43">K17-K22</f>
        <v>21.59999999999998</v>
      </c>
      <c r="L23" s="2">
        <f t="shared" si="43"/>
        <v>138.98699999999999</v>
      </c>
      <c r="M23" s="2">
        <f t="shared" ref="M23" si="44">M17-M22</f>
        <v>226.5924276900692</v>
      </c>
      <c r="N23" s="2">
        <f t="shared" ref="N23" si="45">N17-N22</f>
        <v>297.16891721248822</v>
      </c>
      <c r="O23" s="2">
        <f t="shared" ref="O23" si="46">O17-O22</f>
        <v>357.3374915745739</v>
      </c>
      <c r="P23" s="2">
        <f t="shared" ref="P23" si="47">P17-P22</f>
        <v>426.74082395335824</v>
      </c>
      <c r="Q23" s="2">
        <f t="shared" ref="Q23" si="48">Q17-Q22</f>
        <v>535.60307358039518</v>
      </c>
      <c r="R23" s="2">
        <f t="shared" ref="R23:V23" si="49">R17-R22</f>
        <v>616.27763778699671</v>
      </c>
      <c r="S23" s="2">
        <f t="shared" si="49"/>
        <v>727.61723780418015</v>
      </c>
      <c r="T23" s="2">
        <f t="shared" si="49"/>
        <v>786.91585010088886</v>
      </c>
      <c r="U23" s="2">
        <f t="shared" si="49"/>
        <v>852.50974587541157</v>
      </c>
      <c r="V23" s="2">
        <f t="shared" si="49"/>
        <v>925.16680790862256</v>
      </c>
    </row>
    <row r="24" spans="1:112" x14ac:dyDescent="0.2">
      <c r="B24" s="2" t="s">
        <v>23</v>
      </c>
      <c r="J24" s="2">
        <v>4.4999999999999998E-2</v>
      </c>
      <c r="K24" s="2">
        <v>1.62</v>
      </c>
      <c r="L24" s="2">
        <v>2.1</v>
      </c>
      <c r="M24" s="2">
        <f>L43*$Y$30</f>
        <v>0.76360000000000017</v>
      </c>
      <c r="N24" s="2">
        <f>M43*$Y$30</f>
        <v>7.9480504750061867</v>
      </c>
      <c r="O24" s="2">
        <f>N43*$Y$30</f>
        <v>17.589746653931012</v>
      </c>
      <c r="P24" s="2">
        <f>O43*$Y$30</f>
        <v>29.437447381951767</v>
      </c>
      <c r="Q24" s="2">
        <f>P43*$Y$30</f>
        <v>43.852680756147564</v>
      </c>
      <c r="R24" s="2">
        <f t="shared" ref="R24:V24" si="50">Q43*$Y$30</f>
        <v>62.163482593182316</v>
      </c>
      <c r="S24" s="2">
        <f t="shared" si="50"/>
        <v>83.602221997195983</v>
      </c>
      <c r="T24" s="2">
        <f t="shared" si="50"/>
        <v>109.23675692691947</v>
      </c>
      <c r="U24" s="2">
        <f t="shared" si="50"/>
        <v>137.55517930899819</v>
      </c>
      <c r="V24" s="2">
        <f t="shared" si="50"/>
        <v>168.84123094482555</v>
      </c>
    </row>
    <row r="25" spans="1:112" x14ac:dyDescent="0.2">
      <c r="B25" s="2" t="s">
        <v>24</v>
      </c>
      <c r="J25" s="2">
        <v>19.3</v>
      </c>
      <c r="K25" s="2">
        <v>25</v>
      </c>
      <c r="L25" s="2">
        <v>14</v>
      </c>
    </row>
    <row r="26" spans="1:112" x14ac:dyDescent="0.2">
      <c r="B26" s="2" t="s">
        <v>25</v>
      </c>
      <c r="J26" s="2">
        <f>J23+J24-J25</f>
        <v>-58.608999999999995</v>
      </c>
      <c r="K26" s="2">
        <f t="shared" ref="K26:L26" si="51">K23+K24-K25</f>
        <v>-1.7800000000000189</v>
      </c>
      <c r="L26" s="2">
        <f t="shared" si="51"/>
        <v>127.08699999999999</v>
      </c>
      <c r="M26" s="2">
        <f>M23+M24-M25</f>
        <v>227.3560276900692</v>
      </c>
      <c r="N26" s="2">
        <f>N23+N24-N25</f>
        <v>305.11696768749442</v>
      </c>
      <c r="O26" s="2">
        <f>O23+O24-O25</f>
        <v>374.9272382285049</v>
      </c>
      <c r="P26" s="2">
        <f>P23+P24-P25</f>
        <v>456.17827133531</v>
      </c>
      <c r="Q26" s="2">
        <f>Q23+Q24-Q25</f>
        <v>579.45575433654278</v>
      </c>
      <c r="R26" s="2">
        <f t="shared" ref="R26:V26" si="52">R23+R24-R25</f>
        <v>678.44112038017897</v>
      </c>
      <c r="S26" s="2">
        <f t="shared" si="52"/>
        <v>811.21945980137616</v>
      </c>
      <c r="T26" s="2">
        <f t="shared" si="52"/>
        <v>896.15260702780836</v>
      </c>
      <c r="U26" s="2">
        <f t="shared" si="52"/>
        <v>990.06492518440973</v>
      </c>
      <c r="V26" s="2">
        <f t="shared" si="52"/>
        <v>1094.0080388534482</v>
      </c>
    </row>
    <row r="27" spans="1:112" x14ac:dyDescent="0.2">
      <c r="B27" s="2" t="s">
        <v>26</v>
      </c>
      <c r="J27" s="2">
        <v>0</v>
      </c>
      <c r="K27" s="2">
        <v>0</v>
      </c>
      <c r="L27" s="2">
        <v>-72</v>
      </c>
      <c r="M27" s="2">
        <f>M26*M33</f>
        <v>47.74476581491453</v>
      </c>
      <c r="N27" s="2">
        <f t="shared" ref="N27:Q27" si="53">N26*N33</f>
        <v>64.074563214373825</v>
      </c>
      <c r="O27" s="2">
        <f t="shared" si="53"/>
        <v>78.734720027986029</v>
      </c>
      <c r="P27" s="2">
        <f t="shared" si="53"/>
        <v>95.7974369804151</v>
      </c>
      <c r="Q27" s="2">
        <f t="shared" si="53"/>
        <v>121.68570841067398</v>
      </c>
      <c r="R27" s="2">
        <f t="shared" ref="R27:V27" si="54">R26*R33</f>
        <v>142.47263527983759</v>
      </c>
      <c r="S27" s="2">
        <f t="shared" si="54"/>
        <v>170.35608655828898</v>
      </c>
      <c r="T27" s="2">
        <f t="shared" si="54"/>
        <v>188.19204747583976</v>
      </c>
      <c r="U27" s="2">
        <f t="shared" si="54"/>
        <v>207.91363428872603</v>
      </c>
      <c r="V27" s="2">
        <f t="shared" si="54"/>
        <v>229.74168815922411</v>
      </c>
    </row>
    <row r="28" spans="1:112" s="4" customFormat="1" ht="15" x14ac:dyDescent="0.25">
      <c r="A28" s="2"/>
      <c r="B28" s="4" t="s">
        <v>27</v>
      </c>
      <c r="J28" s="4">
        <f>J26-J27</f>
        <v>-58.608999999999995</v>
      </c>
      <c r="K28" s="4">
        <f t="shared" ref="K28:Q28" si="55">K26-K27</f>
        <v>-1.7800000000000189</v>
      </c>
      <c r="L28" s="4">
        <f t="shared" si="55"/>
        <v>199.08699999999999</v>
      </c>
      <c r="M28" s="4">
        <f t="shared" si="55"/>
        <v>179.61126187515467</v>
      </c>
      <c r="N28" s="4">
        <f t="shared" si="55"/>
        <v>241.0424044731206</v>
      </c>
      <c r="O28" s="4">
        <f t="shared" si="55"/>
        <v>296.19251820051886</v>
      </c>
      <c r="P28" s="4">
        <f t="shared" si="55"/>
        <v>360.38083435489489</v>
      </c>
      <c r="Q28" s="4">
        <f t="shared" si="55"/>
        <v>457.77004592586877</v>
      </c>
      <c r="R28" s="4">
        <f t="shared" ref="R28:V28" si="56">R26-R27</f>
        <v>535.96848510034135</v>
      </c>
      <c r="S28" s="4">
        <f t="shared" si="56"/>
        <v>640.86337324308715</v>
      </c>
      <c r="T28" s="4">
        <f t="shared" si="56"/>
        <v>707.96055955196857</v>
      </c>
      <c r="U28" s="4">
        <f t="shared" si="56"/>
        <v>782.1512908956837</v>
      </c>
      <c r="V28" s="4">
        <f t="shared" si="56"/>
        <v>864.266350694224</v>
      </c>
      <c r="W28" s="4">
        <f t="shared" ref="W28:BB28" si="57">V28*(1+$Y$31)</f>
        <v>838.33836017339729</v>
      </c>
      <c r="X28" s="4">
        <f t="shared" si="57"/>
        <v>813.18820936819532</v>
      </c>
      <c r="Y28" s="4">
        <f t="shared" si="57"/>
        <v>788.79256308714946</v>
      </c>
      <c r="Z28" s="4">
        <f t="shared" si="57"/>
        <v>765.128786194535</v>
      </c>
      <c r="AA28" s="4">
        <f t="shared" si="57"/>
        <v>742.17492260869892</v>
      </c>
      <c r="AB28" s="4">
        <f t="shared" si="57"/>
        <v>719.90967493043797</v>
      </c>
      <c r="AC28" s="4">
        <f t="shared" si="57"/>
        <v>698.31238468252479</v>
      </c>
      <c r="AD28" s="4">
        <f t="shared" si="57"/>
        <v>677.363013142049</v>
      </c>
      <c r="AE28" s="4">
        <f t="shared" si="57"/>
        <v>657.04212274778752</v>
      </c>
      <c r="AF28" s="4">
        <f t="shared" si="57"/>
        <v>637.33085906535382</v>
      </c>
      <c r="AG28" s="4">
        <f t="shared" si="57"/>
        <v>618.21093329339317</v>
      </c>
      <c r="AH28" s="4">
        <f t="shared" si="57"/>
        <v>599.66460529459141</v>
      </c>
      <c r="AI28" s="4">
        <f t="shared" si="57"/>
        <v>581.67466713575368</v>
      </c>
      <c r="AJ28" s="4">
        <f t="shared" si="57"/>
        <v>564.22442712168106</v>
      </c>
      <c r="AK28" s="4">
        <f t="shared" si="57"/>
        <v>547.2976943080306</v>
      </c>
      <c r="AL28" s="4">
        <f t="shared" si="57"/>
        <v>530.87876347878966</v>
      </c>
      <c r="AM28" s="4">
        <f t="shared" si="57"/>
        <v>514.95240057442595</v>
      </c>
      <c r="AN28" s="4">
        <f t="shared" si="57"/>
        <v>499.50382855719317</v>
      </c>
      <c r="AO28" s="4">
        <f t="shared" si="57"/>
        <v>484.51871370047735</v>
      </c>
      <c r="AP28" s="4">
        <f t="shared" si="57"/>
        <v>469.98315228946302</v>
      </c>
      <c r="AQ28" s="4">
        <f t="shared" si="57"/>
        <v>455.88365772077913</v>
      </c>
      <c r="AR28" s="4">
        <f t="shared" si="57"/>
        <v>442.20714798915571</v>
      </c>
      <c r="AS28" s="4">
        <f t="shared" si="57"/>
        <v>428.94093354948103</v>
      </c>
      <c r="AT28" s="4">
        <f t="shared" si="57"/>
        <v>416.07270554299657</v>
      </c>
      <c r="AU28" s="4">
        <f t="shared" si="57"/>
        <v>403.59052437670664</v>
      </c>
      <c r="AV28" s="4">
        <f t="shared" si="57"/>
        <v>391.48280864540544</v>
      </c>
      <c r="AW28" s="4">
        <f t="shared" si="57"/>
        <v>379.73832438604325</v>
      </c>
      <c r="AX28" s="4">
        <f t="shared" si="57"/>
        <v>368.34617465446195</v>
      </c>
      <c r="AY28" s="4">
        <f t="shared" si="57"/>
        <v>357.29578941482811</v>
      </c>
      <c r="AZ28" s="4">
        <f t="shared" si="57"/>
        <v>346.57691573238327</v>
      </c>
      <c r="BA28" s="4">
        <f t="shared" si="57"/>
        <v>336.17960826041178</v>
      </c>
      <c r="BB28" s="4">
        <f t="shared" si="57"/>
        <v>326.09422001259941</v>
      </c>
      <c r="BC28" s="4">
        <f t="shared" ref="BC28:CH28" si="58">BB28*(1+$Y$31)</f>
        <v>316.31139341222143</v>
      </c>
      <c r="BD28" s="4">
        <f t="shared" si="58"/>
        <v>306.82205160985478</v>
      </c>
      <c r="BE28" s="4">
        <f t="shared" si="58"/>
        <v>297.61739006155915</v>
      </c>
      <c r="BF28" s="4">
        <f t="shared" si="58"/>
        <v>288.68886835971239</v>
      </c>
      <c r="BG28" s="4">
        <f t="shared" si="58"/>
        <v>280.02820230892098</v>
      </c>
      <c r="BH28" s="4">
        <f t="shared" si="58"/>
        <v>271.62735623965335</v>
      </c>
      <c r="BI28" s="4">
        <f t="shared" si="58"/>
        <v>263.47853555246377</v>
      </c>
      <c r="BJ28" s="4">
        <f t="shared" si="58"/>
        <v>255.57417948588986</v>
      </c>
      <c r="BK28" s="4">
        <f t="shared" si="58"/>
        <v>247.90695410131315</v>
      </c>
      <c r="BL28" s="4">
        <f t="shared" si="58"/>
        <v>240.46974547827375</v>
      </c>
      <c r="BM28" s="4">
        <f t="shared" si="58"/>
        <v>233.25565311392552</v>
      </c>
      <c r="BN28" s="4">
        <f t="shared" si="58"/>
        <v>226.25798352050774</v>
      </c>
      <c r="BO28" s="4">
        <f t="shared" si="58"/>
        <v>219.4702440148925</v>
      </c>
      <c r="BP28" s="4">
        <f t="shared" si="58"/>
        <v>212.88613669444572</v>
      </c>
      <c r="BQ28" s="4">
        <f t="shared" si="58"/>
        <v>206.49955259361235</v>
      </c>
      <c r="BR28" s="4">
        <f t="shared" si="58"/>
        <v>200.30456601580397</v>
      </c>
      <c r="BS28" s="4">
        <f t="shared" si="58"/>
        <v>194.29542903532985</v>
      </c>
      <c r="BT28" s="4">
        <f t="shared" si="58"/>
        <v>188.46656616426995</v>
      </c>
      <c r="BU28" s="4">
        <f t="shared" si="58"/>
        <v>182.81256917934184</v>
      </c>
      <c r="BV28" s="4">
        <f t="shared" si="58"/>
        <v>177.32819210396158</v>
      </c>
      <c r="BW28" s="4">
        <f t="shared" si="58"/>
        <v>172.00834634084273</v>
      </c>
      <c r="BX28" s="4">
        <f t="shared" si="58"/>
        <v>166.84809595061745</v>
      </c>
      <c r="BY28" s="4">
        <f t="shared" si="58"/>
        <v>161.84265307209893</v>
      </c>
      <c r="BZ28" s="4">
        <f t="shared" si="58"/>
        <v>156.98737347993597</v>
      </c>
      <c r="CA28" s="4">
        <f t="shared" si="58"/>
        <v>152.27775227553789</v>
      </c>
      <c r="CB28" s="4">
        <f t="shared" si="58"/>
        <v>147.70941970727176</v>
      </c>
      <c r="CC28" s="4">
        <f t="shared" si="58"/>
        <v>143.27813711605361</v>
      </c>
      <c r="CD28" s="4">
        <f t="shared" si="58"/>
        <v>138.97979300257199</v>
      </c>
      <c r="CE28" s="4">
        <f t="shared" si="58"/>
        <v>134.81039921249484</v>
      </c>
      <c r="CF28" s="4">
        <f t="shared" si="58"/>
        <v>130.76608723612</v>
      </c>
      <c r="CG28" s="4">
        <f t="shared" si="58"/>
        <v>126.8431046190364</v>
      </c>
      <c r="CH28" s="4">
        <f t="shared" si="58"/>
        <v>123.03781148046529</v>
      </c>
      <c r="CI28" s="4">
        <f t="shared" ref="CI28:DH28" si="59">CH28*(1+$Y$31)</f>
        <v>119.34667713605133</v>
      </c>
      <c r="CJ28" s="4">
        <f t="shared" si="59"/>
        <v>115.76627682196978</v>
      </c>
      <c r="CK28" s="4">
        <f t="shared" si="59"/>
        <v>112.29328851731069</v>
      </c>
      <c r="CL28" s="4">
        <f t="shared" si="59"/>
        <v>108.92448986179136</v>
      </c>
      <c r="CM28" s="4">
        <f t="shared" si="59"/>
        <v>105.65675516593761</v>
      </c>
      <c r="CN28" s="4">
        <f t="shared" si="59"/>
        <v>102.48705251095949</v>
      </c>
      <c r="CO28" s="4">
        <f t="shared" si="59"/>
        <v>99.412440935630698</v>
      </c>
      <c r="CP28" s="4">
        <f t="shared" si="59"/>
        <v>96.430067707561776</v>
      </c>
      <c r="CQ28" s="4">
        <f t="shared" si="59"/>
        <v>93.537165676334922</v>
      </c>
      <c r="CR28" s="4">
        <f t="shared" si="59"/>
        <v>90.731050706044869</v>
      </c>
      <c r="CS28" s="4">
        <f t="shared" si="59"/>
        <v>88.009119184863522</v>
      </c>
      <c r="CT28" s="4">
        <f t="shared" si="59"/>
        <v>85.368845609317617</v>
      </c>
      <c r="CU28" s="4">
        <f t="shared" si="59"/>
        <v>82.807780241038088</v>
      </c>
      <c r="CV28" s="4">
        <f t="shared" si="59"/>
        <v>80.323546833806944</v>
      </c>
      <c r="CW28" s="4">
        <f t="shared" si="59"/>
        <v>77.913840428792739</v>
      </c>
      <c r="CX28" s="4">
        <f t="shared" si="59"/>
        <v>75.57642521592895</v>
      </c>
      <c r="CY28" s="4">
        <f t="shared" si="59"/>
        <v>73.309132459451078</v>
      </c>
      <c r="CZ28" s="4">
        <f t="shared" si="59"/>
        <v>71.109858485667544</v>
      </c>
      <c r="DA28" s="4">
        <f t="shared" si="59"/>
        <v>68.976562731097516</v>
      </c>
      <c r="DB28" s="4">
        <f t="shared" si="59"/>
        <v>66.907265849164588</v>
      </c>
      <c r="DC28" s="4">
        <f t="shared" si="59"/>
        <v>64.900047873689644</v>
      </c>
      <c r="DD28" s="4">
        <f t="shared" si="59"/>
        <v>62.953046437478953</v>
      </c>
      <c r="DE28" s="4">
        <f t="shared" si="59"/>
        <v>61.064455044354581</v>
      </c>
      <c r="DF28" s="4">
        <f t="shared" si="59"/>
        <v>59.232521393023944</v>
      </c>
      <c r="DG28" s="4">
        <f t="shared" si="59"/>
        <v>57.455545751233224</v>
      </c>
      <c r="DH28" s="4">
        <f t="shared" si="59"/>
        <v>55.731879378696227</v>
      </c>
    </row>
    <row r="29" spans="1:112" x14ac:dyDescent="0.2">
      <c r="B29" s="2" t="s">
        <v>28</v>
      </c>
      <c r="J29" s="6">
        <f>J28/J30</f>
        <v>-0.29615462354724603</v>
      </c>
      <c r="K29" s="6">
        <f>K28/K30</f>
        <v>-7.9464285714286563E-3</v>
      </c>
      <c r="L29" s="6">
        <f>L28/L30</f>
        <v>0.81814333853867016</v>
      </c>
      <c r="M29" s="6">
        <f t="shared" ref="M29:Q29" si="60">M28/M30</f>
        <v>0.75589193390633869</v>
      </c>
      <c r="N29" s="6">
        <f t="shared" si="60"/>
        <v>1.0144241923831432</v>
      </c>
      <c r="O29" s="6">
        <f t="shared" si="60"/>
        <v>1.2465228129559112</v>
      </c>
      <c r="P29" s="6">
        <f t="shared" si="60"/>
        <v>1.5166586046962307</v>
      </c>
      <c r="Q29" s="6">
        <f t="shared" si="60"/>
        <v>1.9265199836957632</v>
      </c>
      <c r="R29" s="6">
        <f t="shared" ref="R29:V29" si="61">R28/R30</f>
        <v>2.255617217348826</v>
      </c>
      <c r="S29" s="6">
        <f t="shared" si="61"/>
        <v>2.6970661500456079</v>
      </c>
      <c r="T29" s="6">
        <f t="shared" si="61"/>
        <v>2.9794438884412537</v>
      </c>
      <c r="U29" s="6">
        <f t="shared" si="61"/>
        <v>3.2916747296916595</v>
      </c>
      <c r="V29" s="6">
        <f t="shared" si="61"/>
        <v>3.6372550162835848</v>
      </c>
    </row>
    <row r="30" spans="1:112" x14ac:dyDescent="0.2">
      <c r="B30" s="2" t="s">
        <v>2</v>
      </c>
      <c r="J30" s="2">
        <v>197.9</v>
      </c>
      <c r="K30" s="2">
        <v>224</v>
      </c>
      <c r="L30" s="2">
        <v>243.34</v>
      </c>
      <c r="M30" s="2">
        <v>237.61500000000001</v>
      </c>
      <c r="N30" s="2">
        <v>237.61500000000001</v>
      </c>
      <c r="O30" s="2">
        <v>237.61500000000001</v>
      </c>
      <c r="P30" s="2">
        <v>237.61500000000001</v>
      </c>
      <c r="Q30" s="2">
        <v>237.61500000000001</v>
      </c>
      <c r="R30" s="2">
        <v>237.61500000000001</v>
      </c>
      <c r="S30" s="2">
        <v>237.61500000000001</v>
      </c>
      <c r="T30" s="2">
        <v>237.61500000000001</v>
      </c>
      <c r="U30" s="2">
        <v>237.61500000000001</v>
      </c>
      <c r="V30" s="2">
        <v>237.61500000000001</v>
      </c>
      <c r="X30" s="2" t="s">
        <v>36</v>
      </c>
      <c r="Y30" s="9">
        <v>0.04</v>
      </c>
    </row>
    <row r="31" spans="1:112" x14ac:dyDescent="0.2">
      <c r="X31" s="2" t="s">
        <v>37</v>
      </c>
      <c r="Y31" s="9">
        <v>-0.03</v>
      </c>
    </row>
    <row r="32" spans="1:112" s="4" customFormat="1" ht="15" x14ac:dyDescent="0.25">
      <c r="A32" s="2"/>
      <c r="B32" s="4" t="s">
        <v>29</v>
      </c>
      <c r="K32" s="7">
        <f>K15/J15-1</f>
        <v>0.67553536664503566</v>
      </c>
      <c r="L32" s="7">
        <f>L15/K15-1</f>
        <v>0.65162664601084441</v>
      </c>
      <c r="M32" s="7">
        <f t="shared" ref="M32:Q32" si="62">M15/L15-1</f>
        <v>0.16814515183491618</v>
      </c>
      <c r="N32" s="7">
        <f t="shared" si="62"/>
        <v>0.21602183274098152</v>
      </c>
      <c r="O32" s="7">
        <f t="shared" si="62"/>
        <v>0.17763003427884638</v>
      </c>
      <c r="P32" s="7">
        <f t="shared" si="62"/>
        <v>0.17006300291645826</v>
      </c>
      <c r="Q32" s="7">
        <f t="shared" si="62"/>
        <v>0.23022063707973084</v>
      </c>
      <c r="R32" s="7">
        <f t="shared" ref="R32" si="63">R15/Q15-1</f>
        <v>0.13555063019954949</v>
      </c>
      <c r="S32" s="7">
        <f t="shared" ref="S32" si="64">S15/R15-1</f>
        <v>0.1652473027449497</v>
      </c>
      <c r="T32" s="7">
        <f t="shared" ref="T32" si="65">T15/S15-1</f>
        <v>6.7419013335729749E-2</v>
      </c>
      <c r="U32" s="7">
        <f t="shared" ref="U32" si="66">U15/T15-1</f>
        <v>6.9297306963501226E-2</v>
      </c>
      <c r="V32" s="7">
        <f t="shared" ref="V32" si="67">V15/U15-1</f>
        <v>7.1187784727549497E-2</v>
      </c>
      <c r="X32" s="2" t="s">
        <v>38</v>
      </c>
      <c r="Y32" s="9">
        <v>0.09</v>
      </c>
    </row>
    <row r="33" spans="1:108" x14ac:dyDescent="0.2">
      <c r="B33" s="2" t="s">
        <v>30</v>
      </c>
      <c r="J33" s="8">
        <f>J27/J26</f>
        <v>0</v>
      </c>
      <c r="K33" s="8">
        <f t="shared" ref="K33:L33" si="68">K27/K26</f>
        <v>0</v>
      </c>
      <c r="L33" s="8">
        <f t="shared" si="68"/>
        <v>-0.5665410309473039</v>
      </c>
      <c r="M33" s="8">
        <v>0.21</v>
      </c>
      <c r="N33" s="8">
        <v>0.21</v>
      </c>
      <c r="O33" s="8">
        <v>0.21</v>
      </c>
      <c r="P33" s="8">
        <v>0.21</v>
      </c>
      <c r="Q33" s="8">
        <v>0.21</v>
      </c>
      <c r="R33" s="8">
        <v>0.21</v>
      </c>
      <c r="S33" s="8">
        <v>0.21</v>
      </c>
      <c r="T33" s="8">
        <v>0.21</v>
      </c>
      <c r="U33" s="8">
        <v>0.21</v>
      </c>
      <c r="V33" s="8">
        <v>0.21</v>
      </c>
      <c r="X33" s="2" t="s">
        <v>39</v>
      </c>
      <c r="Y33" s="2">
        <f>NPV(Y32,M41:DH41)</f>
        <v>6435.8260786932642</v>
      </c>
    </row>
    <row r="34" spans="1:108" x14ac:dyDescent="0.2">
      <c r="X34" s="2" t="s">
        <v>1</v>
      </c>
      <c r="Y34" s="6">
        <f>Y33/main!D3</f>
        <v>26.958146215843843</v>
      </c>
    </row>
    <row r="35" spans="1:108" x14ac:dyDescent="0.2">
      <c r="B35" s="2" t="s">
        <v>31</v>
      </c>
      <c r="J35" s="8">
        <f>J17/J15</f>
        <v>0.2290720311486048</v>
      </c>
      <c r="K35" s="8">
        <f t="shared" ref="K35:L35" si="69">K17/K15</f>
        <v>0.34430673896204483</v>
      </c>
      <c r="L35" s="8">
        <f t="shared" si="69"/>
        <v>0.51483175049829988</v>
      </c>
      <c r="M35" s="8">
        <v>0.64</v>
      </c>
      <c r="N35" s="8">
        <f t="shared" ref="N35" si="70">M35*1.05</f>
        <v>0.67200000000000004</v>
      </c>
      <c r="O35" s="8">
        <f>N35*1.01</f>
        <v>0.6787200000000001</v>
      </c>
      <c r="P35" s="8">
        <f t="shared" ref="P35:V35" si="71">O35*1.01</f>
        <v>0.68550720000000009</v>
      </c>
      <c r="Q35" s="8">
        <f t="shared" si="71"/>
        <v>0.69236227200000011</v>
      </c>
      <c r="R35" s="8">
        <f t="shared" si="71"/>
        <v>0.69928589472000013</v>
      </c>
      <c r="S35" s="8">
        <f t="shared" si="71"/>
        <v>0.70627875366720017</v>
      </c>
      <c r="T35" s="8">
        <f t="shared" si="71"/>
        <v>0.71334154120387216</v>
      </c>
      <c r="U35" s="8">
        <f t="shared" si="71"/>
        <v>0.72047495661591088</v>
      </c>
      <c r="V35" s="8">
        <f t="shared" si="71"/>
        <v>0.72767970618207001</v>
      </c>
      <c r="X35" s="2" t="s">
        <v>40</v>
      </c>
      <c r="Y35" s="8">
        <f>Y34/main!D2-1</f>
        <v>0.3452168770381161</v>
      </c>
    </row>
    <row r="36" spans="1:108" x14ac:dyDescent="0.2">
      <c r="B36" s="2" t="s">
        <v>43</v>
      </c>
      <c r="J36" s="8">
        <f>J22/J15</f>
        <v>0.48445165476963009</v>
      </c>
      <c r="K36" s="8">
        <f t="shared" ref="K36:L36" si="72">K22/K15</f>
        <v>0.26065065840433771</v>
      </c>
      <c r="L36" s="8">
        <f t="shared" si="72"/>
        <v>0.18891546488451164</v>
      </c>
      <c r="M36" s="8">
        <f>L36*0.98</f>
        <v>0.18513715558682139</v>
      </c>
      <c r="N36" s="8">
        <f t="shared" ref="N36:Q36" si="73">M36*0.98</f>
        <v>0.18143441247508496</v>
      </c>
      <c r="O36" s="8">
        <f t="shared" si="73"/>
        <v>0.17780572422558324</v>
      </c>
      <c r="P36" s="8">
        <f t="shared" si="73"/>
        <v>0.17424960974107156</v>
      </c>
      <c r="Q36" s="8">
        <f t="shared" si="73"/>
        <v>0.17076461754625014</v>
      </c>
      <c r="R36" s="8">
        <f>Q36*1</f>
        <v>0.17076461754625014</v>
      </c>
      <c r="S36" s="8">
        <f t="shared" ref="S36:V36" si="74">R36*1</f>
        <v>0.17076461754625014</v>
      </c>
      <c r="T36" s="8">
        <f t="shared" si="74"/>
        <v>0.17076461754625014</v>
      </c>
      <c r="U36" s="8">
        <f t="shared" si="74"/>
        <v>0.17076461754625014</v>
      </c>
      <c r="V36" s="8">
        <f t="shared" si="74"/>
        <v>0.17076461754625014</v>
      </c>
    </row>
    <row r="37" spans="1:108" x14ac:dyDescent="0.2">
      <c r="B37" s="2" t="s">
        <v>44</v>
      </c>
      <c r="J37" s="8">
        <f>J41/J15</f>
        <v>-0.47631408176508766</v>
      </c>
      <c r="K37" s="8">
        <f t="shared" ref="K37:P37" si="75">K41/K15</f>
        <v>1.5608055770720377E-2</v>
      </c>
      <c r="L37" s="8">
        <f t="shared" si="75"/>
        <v>0.25977254074334621</v>
      </c>
      <c r="M37" s="8">
        <f t="shared" si="75"/>
        <v>0.39660786253021424</v>
      </c>
      <c r="N37" s="8">
        <f t="shared" si="75"/>
        <v>0.43770331320568528</v>
      </c>
      <c r="O37" s="8">
        <f t="shared" si="75"/>
        <v>0.45672164457049574</v>
      </c>
      <c r="P37" s="8">
        <f t="shared" si="75"/>
        <v>0.47493037756499196</v>
      </c>
      <c r="Q37" s="8">
        <f>Q41/Q15</f>
        <v>0.49037986041001735</v>
      </c>
      <c r="R37" s="8">
        <f t="shared" ref="R37:V37" si="76">R41/R15</f>
        <v>0.50561273684381336</v>
      </c>
      <c r="S37" s="8">
        <f t="shared" si="76"/>
        <v>0.51883121461288184</v>
      </c>
      <c r="T37" s="8">
        <f t="shared" si="76"/>
        <v>0.53695114752832473</v>
      </c>
      <c r="U37" s="8">
        <f t="shared" si="76"/>
        <v>0.55477643363312568</v>
      </c>
      <c r="V37" s="8">
        <f t="shared" si="76"/>
        <v>0.57228087292589835</v>
      </c>
    </row>
    <row r="39" spans="1:108" x14ac:dyDescent="0.2">
      <c r="B39" s="2" t="s">
        <v>32</v>
      </c>
      <c r="J39" s="2">
        <v>-59.5</v>
      </c>
      <c r="K39" s="2">
        <v>8.8000000000000007</v>
      </c>
      <c r="L39" s="2">
        <v>119</v>
      </c>
    </row>
    <row r="40" spans="1:108" x14ac:dyDescent="0.2">
      <c r="B40" s="2" t="s">
        <v>33</v>
      </c>
      <c r="J40" s="2">
        <v>13.9</v>
      </c>
      <c r="K40" s="2">
        <v>4.7699999999999996</v>
      </c>
      <c r="L40" s="2">
        <v>8.2200000000000006</v>
      </c>
    </row>
    <row r="41" spans="1:108" s="4" customFormat="1" ht="15" x14ac:dyDescent="0.25">
      <c r="A41" s="2"/>
      <c r="B41" s="4" t="s">
        <v>34</v>
      </c>
      <c r="J41" s="4">
        <f>J39-J40</f>
        <v>-73.400000000000006</v>
      </c>
      <c r="K41" s="4">
        <f t="shared" ref="K41:L41" si="77">K39-K40</f>
        <v>4.0300000000000011</v>
      </c>
      <c r="L41" s="4">
        <f t="shared" si="77"/>
        <v>110.78</v>
      </c>
      <c r="M41" s="4">
        <f>M28*1.1</f>
        <v>197.57238806267014</v>
      </c>
      <c r="N41" s="4">
        <f t="shared" ref="N41:Q41" si="78">N28*1.1</f>
        <v>265.14664492043266</v>
      </c>
      <c r="O41" s="4">
        <f t="shared" si="78"/>
        <v>325.81177002057075</v>
      </c>
      <c r="P41" s="4">
        <f t="shared" si="78"/>
        <v>396.4189177903844</v>
      </c>
      <c r="Q41" s="4">
        <f t="shared" si="78"/>
        <v>503.54705051845571</v>
      </c>
      <c r="R41" s="4">
        <f t="shared" ref="R41:V41" si="79">R28*1.1</f>
        <v>589.56533361037555</v>
      </c>
      <c r="S41" s="4">
        <f t="shared" si="79"/>
        <v>704.94971056739598</v>
      </c>
      <c r="T41" s="4">
        <f t="shared" si="79"/>
        <v>778.75661550716552</v>
      </c>
      <c r="U41" s="4">
        <f t="shared" si="79"/>
        <v>860.36641998525215</v>
      </c>
      <c r="V41" s="4">
        <f t="shared" si="79"/>
        <v>950.69298576364645</v>
      </c>
      <c r="W41" s="4">
        <f t="shared" ref="W41:BB41" si="80">V41*(1+$Y$31)</f>
        <v>922.17219619073705</v>
      </c>
      <c r="X41" s="4">
        <f t="shared" si="80"/>
        <v>894.50703030501495</v>
      </c>
      <c r="Y41" s="4">
        <f t="shared" si="80"/>
        <v>867.67181939586453</v>
      </c>
      <c r="Z41" s="4">
        <f t="shared" si="80"/>
        <v>841.64166481398854</v>
      </c>
      <c r="AA41" s="4">
        <f t="shared" si="80"/>
        <v>816.39241486956882</v>
      </c>
      <c r="AB41" s="4">
        <f t="shared" si="80"/>
        <v>791.90064242348171</v>
      </c>
      <c r="AC41" s="4">
        <f t="shared" si="80"/>
        <v>768.14362315077722</v>
      </c>
      <c r="AD41" s="4">
        <f t="shared" si="80"/>
        <v>745.09931445625386</v>
      </c>
      <c r="AE41" s="4">
        <f t="shared" si="80"/>
        <v>722.7463350225662</v>
      </c>
      <c r="AF41" s="4">
        <f t="shared" si="80"/>
        <v>701.06394497188921</v>
      </c>
      <c r="AG41" s="4">
        <f t="shared" si="80"/>
        <v>680.03202662273247</v>
      </c>
      <c r="AH41" s="4">
        <f t="shared" si="80"/>
        <v>659.63106582405044</v>
      </c>
      <c r="AI41" s="4">
        <f t="shared" si="80"/>
        <v>639.84213384932889</v>
      </c>
      <c r="AJ41" s="4">
        <f t="shared" si="80"/>
        <v>620.646869833849</v>
      </c>
      <c r="AK41" s="4">
        <f t="shared" si="80"/>
        <v>602.02746373883349</v>
      </c>
      <c r="AL41" s="4">
        <f t="shared" si="80"/>
        <v>583.96663982666848</v>
      </c>
      <c r="AM41" s="4">
        <f t="shared" si="80"/>
        <v>566.44764063186847</v>
      </c>
      <c r="AN41" s="4">
        <f t="shared" si="80"/>
        <v>549.4542114129124</v>
      </c>
      <c r="AO41" s="4">
        <f t="shared" si="80"/>
        <v>532.97058507052498</v>
      </c>
      <c r="AP41" s="4">
        <f t="shared" si="80"/>
        <v>516.9814675184092</v>
      </c>
      <c r="AQ41" s="4">
        <f t="shared" si="80"/>
        <v>501.47202349285692</v>
      </c>
      <c r="AR41" s="4">
        <f t="shared" si="80"/>
        <v>486.4278627880712</v>
      </c>
      <c r="AS41" s="4">
        <f t="shared" si="80"/>
        <v>471.83502690442907</v>
      </c>
      <c r="AT41" s="4">
        <f t="shared" si="80"/>
        <v>457.67997609729616</v>
      </c>
      <c r="AU41" s="4">
        <f t="shared" si="80"/>
        <v>443.94957681437728</v>
      </c>
      <c r="AV41" s="4">
        <f t="shared" si="80"/>
        <v>430.63108950994592</v>
      </c>
      <c r="AW41" s="4">
        <f t="shared" si="80"/>
        <v>417.71215682464754</v>
      </c>
      <c r="AX41" s="4">
        <f t="shared" si="80"/>
        <v>405.18079211990812</v>
      </c>
      <c r="AY41" s="4">
        <f t="shared" si="80"/>
        <v>393.02536835631088</v>
      </c>
      <c r="AZ41" s="4">
        <f t="shared" si="80"/>
        <v>381.23460730562152</v>
      </c>
      <c r="BA41" s="4">
        <f t="shared" si="80"/>
        <v>369.79756908645288</v>
      </c>
      <c r="BB41" s="4">
        <f t="shared" si="80"/>
        <v>358.70364201385928</v>
      </c>
      <c r="BC41" s="4">
        <f t="shared" ref="BC41:CH41" si="81">BB41*(1+$Y$31)</f>
        <v>347.94253275344352</v>
      </c>
      <c r="BD41" s="4">
        <f t="shared" si="81"/>
        <v>337.50425677084019</v>
      </c>
      <c r="BE41" s="4">
        <f t="shared" si="81"/>
        <v>327.37912906771498</v>
      </c>
      <c r="BF41" s="4">
        <f t="shared" si="81"/>
        <v>317.55775519568351</v>
      </c>
      <c r="BG41" s="4">
        <f t="shared" si="81"/>
        <v>308.03102253981302</v>
      </c>
      <c r="BH41" s="4">
        <f t="shared" si="81"/>
        <v>298.79009186361861</v>
      </c>
      <c r="BI41" s="4">
        <f t="shared" si="81"/>
        <v>289.82638910771004</v>
      </c>
      <c r="BJ41" s="4">
        <f t="shared" si="81"/>
        <v>281.13159743447875</v>
      </c>
      <c r="BK41" s="4">
        <f t="shared" si="81"/>
        <v>272.69764951144435</v>
      </c>
      <c r="BL41" s="4">
        <f t="shared" si="81"/>
        <v>264.51672002610104</v>
      </c>
      <c r="BM41" s="4">
        <f t="shared" si="81"/>
        <v>256.58121842531801</v>
      </c>
      <c r="BN41" s="4">
        <f t="shared" si="81"/>
        <v>248.88378187255847</v>
      </c>
      <c r="BO41" s="4">
        <f t="shared" si="81"/>
        <v>241.41726841638172</v>
      </c>
      <c r="BP41" s="4">
        <f t="shared" si="81"/>
        <v>234.17475036389027</v>
      </c>
      <c r="BQ41" s="4">
        <f t="shared" si="81"/>
        <v>227.14950785297356</v>
      </c>
      <c r="BR41" s="4">
        <f t="shared" si="81"/>
        <v>220.33502261738434</v>
      </c>
      <c r="BS41" s="4">
        <f t="shared" si="81"/>
        <v>213.72497193886281</v>
      </c>
      <c r="BT41" s="4">
        <f t="shared" si="81"/>
        <v>207.31322278069692</v>
      </c>
      <c r="BU41" s="4">
        <f t="shared" si="81"/>
        <v>201.09382609727601</v>
      </c>
      <c r="BV41" s="4">
        <f t="shared" si="81"/>
        <v>195.06101131435773</v>
      </c>
      <c r="BW41" s="4">
        <f t="shared" si="81"/>
        <v>189.20918097492699</v>
      </c>
      <c r="BX41" s="4">
        <f t="shared" si="81"/>
        <v>183.53290554567917</v>
      </c>
      <c r="BY41" s="4">
        <f t="shared" si="81"/>
        <v>178.0269183793088</v>
      </c>
      <c r="BZ41" s="4">
        <f t="shared" si="81"/>
        <v>172.68611082792953</v>
      </c>
      <c r="CA41" s="4">
        <f t="shared" si="81"/>
        <v>167.50552750309163</v>
      </c>
      <c r="CB41" s="4">
        <f t="shared" si="81"/>
        <v>162.48036167799887</v>
      </c>
      <c r="CC41" s="4">
        <f t="shared" si="81"/>
        <v>157.60595082765889</v>
      </c>
      <c r="CD41" s="4">
        <f t="shared" si="81"/>
        <v>152.87777230282913</v>
      </c>
      <c r="CE41" s="4">
        <f t="shared" si="81"/>
        <v>148.29143913374426</v>
      </c>
      <c r="CF41" s="4">
        <f t="shared" si="81"/>
        <v>143.84269595973194</v>
      </c>
      <c r="CG41" s="4">
        <f t="shared" si="81"/>
        <v>139.52741508093999</v>
      </c>
      <c r="CH41" s="4">
        <f t="shared" si="81"/>
        <v>135.34159262851179</v>
      </c>
      <c r="CI41" s="4">
        <f t="shared" ref="CI41:DD41" si="82">CH41*(1+$Y$31)</f>
        <v>131.28134484965642</v>
      </c>
      <c r="CJ41" s="4">
        <f t="shared" si="82"/>
        <v>127.34290450416673</v>
      </c>
      <c r="CK41" s="4">
        <f t="shared" si="82"/>
        <v>123.52261736904173</v>
      </c>
      <c r="CL41" s="4">
        <f t="shared" si="82"/>
        <v>119.81693884797048</v>
      </c>
      <c r="CM41" s="4">
        <f t="shared" si="82"/>
        <v>116.22243068253135</v>
      </c>
      <c r="CN41" s="4">
        <f t="shared" si="82"/>
        <v>112.73575776205541</v>
      </c>
      <c r="CO41" s="4">
        <f t="shared" si="82"/>
        <v>109.35368502919376</v>
      </c>
      <c r="CP41" s="4">
        <f t="shared" si="82"/>
        <v>106.07307447831793</v>
      </c>
      <c r="CQ41" s="4">
        <f t="shared" si="82"/>
        <v>102.89088224396839</v>
      </c>
      <c r="CR41" s="4">
        <f t="shared" si="82"/>
        <v>99.804155776649338</v>
      </c>
      <c r="CS41" s="4">
        <f t="shared" si="82"/>
        <v>96.810031103349857</v>
      </c>
      <c r="CT41" s="4">
        <f t="shared" si="82"/>
        <v>93.905730170249356</v>
      </c>
      <c r="CU41" s="4">
        <f t="shared" si="82"/>
        <v>91.08855826514187</v>
      </c>
      <c r="CV41" s="4">
        <f t="shared" si="82"/>
        <v>88.355901517187618</v>
      </c>
      <c r="CW41" s="4">
        <f t="shared" si="82"/>
        <v>85.705224471671983</v>
      </c>
      <c r="CX41" s="4">
        <f t="shared" si="82"/>
        <v>83.134067737521818</v>
      </c>
      <c r="CY41" s="4">
        <f t="shared" si="82"/>
        <v>80.640045705396162</v>
      </c>
      <c r="CZ41" s="4">
        <f t="shared" si="82"/>
        <v>78.220844334234272</v>
      </c>
      <c r="DA41" s="4">
        <f t="shared" si="82"/>
        <v>75.874219004207248</v>
      </c>
      <c r="DB41" s="4">
        <f t="shared" si="82"/>
        <v>73.597992434081021</v>
      </c>
      <c r="DC41" s="4">
        <f t="shared" si="82"/>
        <v>71.39005266105859</v>
      </c>
      <c r="DD41" s="4">
        <f t="shared" si="82"/>
        <v>69.248351081226829</v>
      </c>
    </row>
    <row r="43" spans="1:108" x14ac:dyDescent="0.2">
      <c r="B43" s="2" t="s">
        <v>35</v>
      </c>
      <c r="L43" s="2">
        <f>L45-L47</f>
        <v>19.090000000000003</v>
      </c>
      <c r="M43" s="2">
        <f>L43+M28</f>
        <v>198.70126187515467</v>
      </c>
      <c r="N43" s="2">
        <f t="shared" ref="N43:Q43" si="83">M43+N28</f>
        <v>439.74366634827527</v>
      </c>
      <c r="O43" s="2">
        <f t="shared" si="83"/>
        <v>735.93618454879413</v>
      </c>
      <c r="P43" s="2">
        <f t="shared" si="83"/>
        <v>1096.3170189036891</v>
      </c>
      <c r="Q43" s="2">
        <f t="shared" si="83"/>
        <v>1554.0870648295579</v>
      </c>
      <c r="R43" s="2">
        <f t="shared" ref="R43" si="84">Q43+R28</f>
        <v>2090.0555499298994</v>
      </c>
      <c r="S43" s="2">
        <f t="shared" ref="S43" si="85">R43+S28</f>
        <v>2730.9189231729865</v>
      </c>
      <c r="T43" s="2">
        <f t="shared" ref="T43" si="86">S43+T28</f>
        <v>3438.8794827249549</v>
      </c>
      <c r="U43" s="2">
        <f t="shared" ref="U43" si="87">T43+U28</f>
        <v>4221.0307736206387</v>
      </c>
      <c r="V43" s="2">
        <f t="shared" ref="V43" si="88">U43+V28</f>
        <v>5085.2971243148622</v>
      </c>
    </row>
    <row r="45" spans="1:108" x14ac:dyDescent="0.2">
      <c r="B45" s="2" t="s">
        <v>4</v>
      </c>
      <c r="L45" s="2">
        <v>103.14700000000001</v>
      </c>
    </row>
    <row r="47" spans="1:108" x14ac:dyDescent="0.2">
      <c r="B47" s="2" t="s">
        <v>5</v>
      </c>
      <c r="L47" s="2">
        <f>72.337+1.5+1.3+8.56+0.36</f>
        <v>84.057000000000002</v>
      </c>
    </row>
  </sheetData>
  <hyperlinks>
    <hyperlink ref="A1" location="main!A1" display="Main" xr:uid="{EE1EE97B-E09C-4781-8A92-61F401DB340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C261-CEB2-448F-9D3A-ACCB160B0A4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2025-05-09T18:03:20Z</dcterms:created>
  <dcterms:modified xsi:type="dcterms:W3CDTF">2025-05-29T22:04:47Z</dcterms:modified>
</cp:coreProperties>
</file>