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2BF0480-A839-4EDC-A66F-AEC67EC2E6F6}" xr6:coauthVersionLast="47" xr6:coauthVersionMax="47" xr10:uidLastSave="{00000000-0000-0000-0000-000000000000}"/>
  <bookViews>
    <workbookView xWindow="6045" yWindow="780" windowWidth="17745" windowHeight="14595" xr2:uid="{4F728EBC-4CE9-4C16-9925-CD4798977D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K3" i="2"/>
  <c r="L2" i="2"/>
  <c r="M2" i="2"/>
  <c r="N2" i="2"/>
  <c r="O2" i="2" s="1"/>
  <c r="K2" i="2"/>
  <c r="K27" i="2"/>
  <c r="L29" i="2"/>
  <c r="M29" i="2"/>
  <c r="N29" i="2" s="1"/>
  <c r="O29" i="2" s="1"/>
  <c r="K29" i="2"/>
  <c r="L33" i="2"/>
  <c r="M33" i="2"/>
  <c r="N33" i="2"/>
  <c r="O33" i="2"/>
  <c r="K33" i="2"/>
  <c r="L35" i="2"/>
  <c r="M35" i="2"/>
  <c r="N35" i="2" s="1"/>
  <c r="O35" i="2" s="1"/>
  <c r="K35" i="2"/>
  <c r="I36" i="2"/>
  <c r="J36" i="2"/>
  <c r="J31" i="2" s="1"/>
  <c r="H36" i="2"/>
  <c r="H31" i="2" s="1"/>
  <c r="J43" i="2"/>
  <c r="J40" i="2"/>
  <c r="J38" i="2" s="1"/>
  <c r="K14" i="2" s="1"/>
  <c r="I27" i="2"/>
  <c r="I26" i="2"/>
  <c r="J26" i="2"/>
  <c r="J27" i="2"/>
  <c r="I12" i="2"/>
  <c r="J12" i="2"/>
  <c r="H12" i="2"/>
  <c r="I4" i="2"/>
  <c r="I33" i="2" s="1"/>
  <c r="J4" i="2"/>
  <c r="J29" i="2" s="1"/>
  <c r="H4" i="2"/>
  <c r="H6" i="2" s="1"/>
  <c r="C4" i="2"/>
  <c r="D4" i="2"/>
  <c r="E4" i="2"/>
  <c r="F4" i="2"/>
  <c r="B4" i="2"/>
  <c r="I1" i="2"/>
  <c r="J1" i="2" s="1"/>
  <c r="K1" i="2" s="1"/>
  <c r="L1" i="2" s="1"/>
  <c r="M1" i="2" s="1"/>
  <c r="N1" i="2" s="1"/>
  <c r="O1" i="2" s="1"/>
  <c r="D6" i="1"/>
  <c r="D5" i="1"/>
  <c r="D4" i="1"/>
  <c r="D7" i="1" s="1"/>
  <c r="I29" i="2" l="1"/>
  <c r="I31" i="2"/>
  <c r="H33" i="2"/>
  <c r="J33" i="2"/>
  <c r="H29" i="2"/>
  <c r="K4" i="2"/>
  <c r="J22" i="2"/>
  <c r="I22" i="2"/>
  <c r="L27" i="2"/>
  <c r="L26" i="2"/>
  <c r="L4" i="2"/>
  <c r="K26" i="2"/>
  <c r="J6" i="2"/>
  <c r="J13" i="2" s="1"/>
  <c r="J16" i="2" s="1"/>
  <c r="I6" i="2"/>
  <c r="I13" i="2" s="1"/>
  <c r="I16" i="2" s="1"/>
  <c r="M4" i="2"/>
  <c r="M5" i="2" s="1"/>
  <c r="H13" i="2"/>
  <c r="H16" i="2" s="1"/>
  <c r="M27" i="2" l="1"/>
  <c r="K34" i="2"/>
  <c r="K36" i="2" s="1"/>
  <c r="L5" i="2"/>
  <c r="L6" i="2" s="1"/>
  <c r="K22" i="2"/>
  <c r="K5" i="2"/>
  <c r="K6" i="2" s="1"/>
  <c r="L22" i="2"/>
  <c r="M26" i="2"/>
  <c r="N27" i="2"/>
  <c r="N4" i="2"/>
  <c r="N5" i="2" s="1"/>
  <c r="M22" i="2"/>
  <c r="M6" i="2"/>
  <c r="J18" i="2"/>
  <c r="J24" i="2"/>
  <c r="I18" i="2"/>
  <c r="I24" i="2"/>
  <c r="H18" i="2"/>
  <c r="H24" i="2"/>
  <c r="K31" i="2" l="1"/>
  <c r="L34" i="2"/>
  <c r="L36" i="2" s="1"/>
  <c r="L31" i="2" s="1"/>
  <c r="K7" i="2"/>
  <c r="K11" i="2"/>
  <c r="L11" i="2" s="1"/>
  <c r="M11" i="2" s="1"/>
  <c r="K9" i="2"/>
  <c r="L9" i="2" s="1"/>
  <c r="M9" i="2" s="1"/>
  <c r="K8" i="2"/>
  <c r="L8" i="2" s="1"/>
  <c r="M8" i="2" s="1"/>
  <c r="K10" i="2"/>
  <c r="L10" i="2" s="1"/>
  <c r="M10" i="2" s="1"/>
  <c r="N26" i="2"/>
  <c r="O26" i="2"/>
  <c r="N6" i="2"/>
  <c r="N22" i="2"/>
  <c r="N11" i="2" s="1"/>
  <c r="O4" i="2"/>
  <c r="O5" i="2" s="1"/>
  <c r="O27" i="2"/>
  <c r="M34" i="2" l="1"/>
  <c r="M36" i="2" s="1"/>
  <c r="M31" i="2" s="1"/>
  <c r="L7" i="2"/>
  <c r="K12" i="2"/>
  <c r="K13" i="2" s="1"/>
  <c r="K16" i="2" s="1"/>
  <c r="K17" i="2" s="1"/>
  <c r="K18" i="2" s="1"/>
  <c r="K38" i="2" s="1"/>
  <c r="L14" i="2" s="1"/>
  <c r="O22" i="2"/>
  <c r="O11" i="2" s="1"/>
  <c r="O6" i="2"/>
  <c r="N10" i="2"/>
  <c r="N9" i="2"/>
  <c r="N8" i="2"/>
  <c r="O34" i="2" l="1"/>
  <c r="O36" i="2" s="1"/>
  <c r="N34" i="2"/>
  <c r="N36" i="2" s="1"/>
  <c r="L12" i="2"/>
  <c r="L13" i="2" s="1"/>
  <c r="L16" i="2" s="1"/>
  <c r="L17" i="2" s="1"/>
  <c r="L18" i="2" s="1"/>
  <c r="M7" i="2"/>
  <c r="O10" i="2"/>
  <c r="O8" i="2"/>
  <c r="O9" i="2"/>
  <c r="N31" i="2" l="1"/>
  <c r="P36" i="2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O31" i="2"/>
  <c r="L38" i="2"/>
  <c r="M14" i="2" s="1"/>
  <c r="N7" i="2"/>
  <c r="M12" i="2"/>
  <c r="M13" i="2" s="1"/>
  <c r="M16" i="2" s="1"/>
  <c r="M17" i="2" s="1"/>
  <c r="M18" i="2" s="1"/>
  <c r="R23" i="2" l="1"/>
  <c r="M38" i="2"/>
  <c r="N14" i="2" s="1"/>
  <c r="O7" i="2"/>
  <c r="O12" i="2" s="1"/>
  <c r="O13" i="2" s="1"/>
  <c r="N12" i="2"/>
  <c r="N13" i="2" s="1"/>
  <c r="N16" i="2" l="1"/>
  <c r="N17" i="2" s="1"/>
  <c r="N18" i="2" s="1"/>
  <c r="N38" i="2" s="1"/>
  <c r="O14" i="2" s="1"/>
  <c r="O16" i="2" s="1"/>
  <c r="O17" i="2" s="1"/>
  <c r="O18" i="2" s="1"/>
  <c r="O38" i="2" l="1"/>
  <c r="P18" i="2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R24" i="2" l="1"/>
  <c r="R25" i="2" s="1"/>
</calcChain>
</file>

<file path=xl/sharedStrings.xml><?xml version="1.0" encoding="utf-8"?>
<sst xmlns="http://schemas.openxmlformats.org/spreadsheetml/2006/main" count="56" uniqueCount="48">
  <si>
    <t>AMZN</t>
  </si>
  <si>
    <t>Price</t>
  </si>
  <si>
    <t>Shares</t>
  </si>
  <si>
    <t>MC</t>
  </si>
  <si>
    <t>Cash</t>
  </si>
  <si>
    <t>Debt</t>
  </si>
  <si>
    <t>EV</t>
  </si>
  <si>
    <t>Product Sales</t>
  </si>
  <si>
    <t>Service Sales</t>
  </si>
  <si>
    <t>Revenue</t>
  </si>
  <si>
    <t>COGS</t>
  </si>
  <si>
    <t>Fulfillment</t>
  </si>
  <si>
    <t>Tech &amp; Infrastructure</t>
  </si>
  <si>
    <t>S&amp;M</t>
  </si>
  <si>
    <t>G&amp;A</t>
  </si>
  <si>
    <t>Other OPEX</t>
  </si>
  <si>
    <t>OPEX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</si>
  <si>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</si>
  <si>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</si>
  <si>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</si>
  <si>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</si>
  <si>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</si>
  <si>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</si>
  <si>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</si>
  <si>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Growth y/y</t>
  </si>
  <si>
    <t>Revenue Growth q/q</t>
  </si>
  <si>
    <t>Tax Rate</t>
  </si>
  <si>
    <t>Gross Margin</t>
  </si>
  <si>
    <t>Operating Margin</t>
  </si>
  <si>
    <t>FCF Margin</t>
  </si>
  <si>
    <t>FCF</t>
  </si>
  <si>
    <t>CFFO</t>
  </si>
  <si>
    <t>CX</t>
  </si>
  <si>
    <t>Net Cash</t>
  </si>
  <si>
    <t>Q124</t>
  </si>
  <si>
    <t>Q224</t>
  </si>
  <si>
    <t>Q324</t>
  </si>
  <si>
    <t>Q424</t>
  </si>
  <si>
    <t>Q125</t>
  </si>
  <si>
    <t>Gross Profit</t>
  </si>
  <si>
    <t>Product Growth</t>
  </si>
  <si>
    <t>Service Growth</t>
  </si>
  <si>
    <t xml:space="preserve">Interest 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</si>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</sst>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6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38100</xdr:rowOff>
    </xdr:from>
    <xdr:to>
      <xdr:col>10</xdr:col>
      <xdr:colOff>19050</xdr:colOff>
      <xdr:row>41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2143D5-FAB8-3057-8D1A-640039DB223C}"/>
            </a:ext>
          </a:extLst>
        </xdr:cNvPr>
        <xdr:cNvCxnSpPr/>
      </xdr:nvCxnSpPr>
      <xdr:spPr>
        <a:xfrm>
          <a:off x="6743700" y="3810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41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6486849-3A1A-4DC0-A27B-5D9A7B1EBC04}"/>
            </a:ext>
          </a:extLst>
        </xdr:cNvPr>
        <xdr:cNvCxnSpPr/>
      </xdr:nvCxnSpPr>
      <xdr:spPr>
        <a:xfrm>
          <a:off x="3705225" y="0"/>
          <a:ext cx="28575" cy="6781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555-45DD-4BC6-9783-861C7BB88667}">
  <dimension ref="A1:E7"/>
  <sheetViews>
    <sheetView tabSelected="1" zoomScale="280" zoomScaleNormal="280" workbookViewId="0">
      <selection activeCell="D3" sqref="D3"/>
    </sheetView>
  </sheetViews>
  <sheetFormatPr defaultRowHeight="14.25" x14ac:dyDescent="0.2"/>
  <cols>
    <col min="1" max="3" width="9.140625" style="9"/>
    <col min="4" max="4" width="10" style="9" customWidth="1"/>
    <col min="5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0">
        <v>205</v>
      </c>
    </row>
    <row r="3" spans="1:5" x14ac:dyDescent="0.2">
      <c r="C3" s="9" t="s">
        <v>2</v>
      </c>
      <c r="D3" s="1">
        <v>10597.7</v>
      </c>
      <c r="E3" s="9" t="s">
        <v>37</v>
      </c>
    </row>
    <row r="4" spans="1:5" x14ac:dyDescent="0.2">
      <c r="C4" s="9" t="s">
        <v>3</v>
      </c>
      <c r="D4" s="1">
        <f>D2*D3</f>
        <v>2172528.5</v>
      </c>
    </row>
    <row r="5" spans="1:5" x14ac:dyDescent="0.2">
      <c r="C5" s="9" t="s">
        <v>4</v>
      </c>
      <c r="D5" s="1">
        <f>73387+13393</f>
        <v>86780</v>
      </c>
      <c r="E5" s="9" t="s">
        <v>37</v>
      </c>
    </row>
    <row r="6" spans="1:5" x14ac:dyDescent="0.2">
      <c r="C6" s="9" t="s">
        <v>5</v>
      </c>
      <c r="D6" s="1">
        <f>58314+25451+77297</f>
        <v>161062</v>
      </c>
      <c r="E6" s="9" t="s">
        <v>37</v>
      </c>
    </row>
    <row r="7" spans="1:5" x14ac:dyDescent="0.2">
      <c r="C7" s="9" t="s">
        <v>6</v>
      </c>
      <c r="D7" s="1">
        <f>D4+D6-D5</f>
        <v>2246810.5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A07-7D2E-434E-9B98-1EBA1E113FE8}">
  <dimension ref="A1:DD44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S22" sqref="S22"/>
    </sheetView>
  </sheetViews>
  <sheetFormatPr defaultRowHeight="14.25" x14ac:dyDescent="0.2"/>
  <cols>
    <col min="1" max="1" width="19" style="1" customWidth="1"/>
    <col min="2" max="14" width="9.140625" style="1"/>
    <col min="15" max="15" width="10.140625" style="1" customWidth="1"/>
    <col min="16" max="17" width="9.140625" style="1"/>
    <col min="18" max="18" width="11.85546875" style="1" bestFit="1" customWidth="1"/>
    <col min="19" max="16384" width="9.140625" style="1"/>
  </cols>
  <sheetData>
    <row r="1" spans="1:15" x14ac:dyDescent="0.2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H1" s="2">
        <v>2022</v>
      </c>
      <c r="I1" s="2">
        <f>H1+1</f>
        <v>2023</v>
      </c>
      <c r="J1" s="2">
        <f t="shared" ref="J1:O1" si="0">I1+1</f>
        <v>2024</v>
      </c>
      <c r="K1" s="2">
        <f t="shared" si="0"/>
        <v>2025</v>
      </c>
      <c r="L1" s="2">
        <f t="shared" si="0"/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</row>
    <row r="2" spans="1:15" x14ac:dyDescent="0.2">
      <c r="A2" s="1" t="s">
        <v>7</v>
      </c>
      <c r="H2" s="1">
        <v>242901</v>
      </c>
      <c r="I2" s="1">
        <v>255887</v>
      </c>
      <c r="J2" s="1">
        <v>272311</v>
      </c>
      <c r="K2" s="1">
        <f t="shared" ref="K2:O2" si="1">J2*1.03</f>
        <v>280480.33</v>
      </c>
      <c r="L2" s="1">
        <f t="shared" ref="L2" si="2">K2*1.03</f>
        <v>288894.73990000004</v>
      </c>
      <c r="M2" s="1">
        <f t="shared" ref="M2" si="3">L2*1.03</f>
        <v>297561.58209700003</v>
      </c>
      <c r="N2" s="1">
        <f t="shared" ref="N2" si="4">M2*1.03</f>
        <v>306488.42955991003</v>
      </c>
      <c r="O2" s="1">
        <f t="shared" ref="O2" si="5">N2*1.03</f>
        <v>315683.08244670735</v>
      </c>
    </row>
    <row r="3" spans="1:15" x14ac:dyDescent="0.2">
      <c r="A3" s="1" t="s">
        <v>8</v>
      </c>
      <c r="H3" s="1">
        <v>271082</v>
      </c>
      <c r="I3" s="1">
        <v>318898</v>
      </c>
      <c r="J3" s="1">
        <v>365648</v>
      </c>
      <c r="K3" s="1">
        <f>J3*1.15</f>
        <v>420495.19999999995</v>
      </c>
      <c r="L3" s="1">
        <f t="shared" ref="L3:O3" si="6">K3*1.15</f>
        <v>483569.47999999992</v>
      </c>
      <c r="M3" s="1">
        <f t="shared" si="6"/>
        <v>556104.90199999989</v>
      </c>
      <c r="N3" s="1">
        <f t="shared" si="6"/>
        <v>639520.63729999983</v>
      </c>
      <c r="O3" s="1">
        <f t="shared" si="6"/>
        <v>735448.73289499979</v>
      </c>
    </row>
    <row r="4" spans="1:15" s="3" customFormat="1" ht="15" x14ac:dyDescent="0.25">
      <c r="A4" s="3" t="s">
        <v>9</v>
      </c>
      <c r="B4" s="3">
        <f>SUM(B2:B3)</f>
        <v>0</v>
      </c>
      <c r="C4" s="3">
        <f t="shared" ref="C4:H4" si="7">SUM(C2:C3)</f>
        <v>0</v>
      </c>
      <c r="D4" s="3">
        <f t="shared" si="7"/>
        <v>0</v>
      </c>
      <c r="E4" s="3">
        <f t="shared" si="7"/>
        <v>0</v>
      </c>
      <c r="F4" s="3">
        <f t="shared" si="7"/>
        <v>0</v>
      </c>
      <c r="H4" s="3">
        <f t="shared" si="7"/>
        <v>513983</v>
      </c>
      <c r="I4" s="3">
        <f t="shared" ref="I4" si="8">SUM(I2:I3)</f>
        <v>574785</v>
      </c>
      <c r="J4" s="3">
        <f t="shared" ref="J4" si="9">SUM(J2:J3)</f>
        <v>637959</v>
      </c>
      <c r="K4" s="3">
        <f t="shared" ref="K4" si="10">SUM(K2:K3)</f>
        <v>700975.53</v>
      </c>
      <c r="L4" s="3">
        <f t="shared" ref="L4" si="11">SUM(L2:L3)</f>
        <v>772464.21989999991</v>
      </c>
      <c r="M4" s="3">
        <f t="shared" ref="M4" si="12">SUM(M2:M3)</f>
        <v>853666.48409699998</v>
      </c>
      <c r="N4" s="3">
        <f t="shared" ref="N4" si="13">SUM(N2:N3)</f>
        <v>946009.0668599098</v>
      </c>
      <c r="O4" s="3">
        <f t="shared" ref="O4" si="14">SUM(O2:O3)</f>
        <v>1051131.8153417071</v>
      </c>
    </row>
    <row r="5" spans="1:15" x14ac:dyDescent="0.2">
      <c r="A5" s="1" t="s">
        <v>10</v>
      </c>
      <c r="H5" s="1">
        <v>288831</v>
      </c>
      <c r="I5" s="1">
        <v>304739</v>
      </c>
      <c r="J5" s="1">
        <v>326288</v>
      </c>
      <c r="K5" s="1">
        <f>K4*(1-K29)</f>
        <v>335286.97978393157</v>
      </c>
      <c r="L5" s="1">
        <f t="shared" ref="L5:O5" si="15">L4*(1-L29)</f>
        <v>361421.41633395018</v>
      </c>
      <c r="M5" s="1">
        <f t="shared" si="15"/>
        <v>390329.38056279445</v>
      </c>
      <c r="N5" s="1">
        <f t="shared" si="15"/>
        <v>422282.84437852545</v>
      </c>
      <c r="O5" s="1">
        <f t="shared" si="15"/>
        <v>457569.42725347239</v>
      </c>
    </row>
    <row r="6" spans="1:15" x14ac:dyDescent="0.2">
      <c r="A6" s="1" t="s">
        <v>39</v>
      </c>
      <c r="H6" s="1">
        <f>H4-H5</f>
        <v>225152</v>
      </c>
      <c r="I6" s="1">
        <f t="shared" ref="I6:O6" si="16">I4-I5</f>
        <v>270046</v>
      </c>
      <c r="J6" s="1">
        <f t="shared" si="16"/>
        <v>311671</v>
      </c>
      <c r="K6" s="1">
        <f t="shared" si="16"/>
        <v>365688.55021606846</v>
      </c>
      <c r="L6" s="1">
        <f t="shared" si="16"/>
        <v>411042.80356604973</v>
      </c>
      <c r="M6" s="1">
        <f t="shared" si="16"/>
        <v>463337.10353420553</v>
      </c>
      <c r="N6" s="1">
        <f t="shared" si="16"/>
        <v>523726.22248138435</v>
      </c>
      <c r="O6" s="1">
        <f t="shared" si="16"/>
        <v>593562.3880882347</v>
      </c>
    </row>
    <row r="7" spans="1:15" x14ac:dyDescent="0.2">
      <c r="A7" s="1" t="s">
        <v>11</v>
      </c>
      <c r="H7" s="1">
        <v>84299</v>
      </c>
      <c r="I7" s="1">
        <v>90619</v>
      </c>
      <c r="J7" s="1">
        <v>98505</v>
      </c>
      <c r="K7" s="1">
        <f>J7+(1*K22)</f>
        <v>98505.098778338419</v>
      </c>
      <c r="L7" s="1">
        <f t="shared" ref="L7:O7" si="17">K7+(1*L22)</f>
        <v>98505.200762911118</v>
      </c>
      <c r="M7" s="1">
        <f t="shared" si="17"/>
        <v>98505.305883979643</v>
      </c>
      <c r="N7" s="1">
        <f t="shared" si="17"/>
        <v>98505.414055712376</v>
      </c>
      <c r="O7" s="1">
        <f t="shared" si="17"/>
        <v>98505.52517806011</v>
      </c>
    </row>
    <row r="8" spans="1:15" x14ac:dyDescent="0.2">
      <c r="A8" s="1" t="s">
        <v>12</v>
      </c>
      <c r="H8" s="1">
        <v>73213</v>
      </c>
      <c r="I8" s="1">
        <v>85622</v>
      </c>
      <c r="J8" s="1">
        <v>88544</v>
      </c>
      <c r="K8" s="1">
        <f>J8+(1*K22)</f>
        <v>88544.098778338419</v>
      </c>
      <c r="L8" s="1">
        <f t="shared" ref="L8:O8" si="18">K8+(1*L22)</f>
        <v>88544.200762911118</v>
      </c>
      <c r="M8" s="1">
        <f t="shared" si="18"/>
        <v>88544.305883979643</v>
      </c>
      <c r="N8" s="1">
        <f t="shared" si="18"/>
        <v>88544.414055712376</v>
      </c>
      <c r="O8" s="1">
        <f t="shared" si="18"/>
        <v>88544.52517806011</v>
      </c>
    </row>
    <row r="9" spans="1:15" x14ac:dyDescent="0.2">
      <c r="A9" s="1" t="s">
        <v>13</v>
      </c>
      <c r="H9" s="1">
        <v>42238</v>
      </c>
      <c r="I9" s="1">
        <v>44370</v>
      </c>
      <c r="J9" s="1">
        <v>43907</v>
      </c>
      <c r="K9" s="1">
        <f>J9+(1*K22)</f>
        <v>43907.098778338419</v>
      </c>
      <c r="L9" s="1">
        <f t="shared" ref="L9:O9" si="19">K9+(1*L22)</f>
        <v>43907.200762911118</v>
      </c>
      <c r="M9" s="1">
        <f t="shared" si="19"/>
        <v>43907.30588397965</v>
      </c>
      <c r="N9" s="1">
        <f t="shared" si="19"/>
        <v>43907.414055712383</v>
      </c>
      <c r="O9" s="1">
        <f t="shared" si="19"/>
        <v>43907.52517806011</v>
      </c>
    </row>
    <row r="10" spans="1:15" x14ac:dyDescent="0.2">
      <c r="A10" s="1" t="s">
        <v>14</v>
      </c>
      <c r="H10" s="1">
        <v>11891</v>
      </c>
      <c r="I10" s="1">
        <v>11816</v>
      </c>
      <c r="J10" s="1">
        <v>11359</v>
      </c>
      <c r="K10" s="1">
        <f>J10+(1*K22)</f>
        <v>11359.098778338421</v>
      </c>
      <c r="L10" s="1">
        <f t="shared" ref="L10:O10" si="20">K10+(1*L22)</f>
        <v>11359.200762911121</v>
      </c>
      <c r="M10" s="1">
        <f t="shared" si="20"/>
        <v>11359.30588397965</v>
      </c>
      <c r="N10" s="1">
        <f t="shared" si="20"/>
        <v>11359.414055712386</v>
      </c>
      <c r="O10" s="1">
        <f t="shared" si="20"/>
        <v>11359.525178060116</v>
      </c>
    </row>
    <row r="11" spans="1:15" x14ac:dyDescent="0.2">
      <c r="A11" s="1" t="s">
        <v>15</v>
      </c>
      <c r="H11" s="1">
        <v>1263</v>
      </c>
      <c r="I11" s="1">
        <v>767</v>
      </c>
      <c r="J11" s="1">
        <v>763</v>
      </c>
      <c r="K11" s="1">
        <f>J11+(1*K22)</f>
        <v>763.09877833841983</v>
      </c>
      <c r="L11" s="1">
        <f t="shared" ref="L11:O11" si="21">K11+(1*L22)</f>
        <v>763.20076291111957</v>
      </c>
      <c r="M11" s="1">
        <f t="shared" si="21"/>
        <v>763.30588397964948</v>
      </c>
      <c r="N11" s="1">
        <f t="shared" si="21"/>
        <v>763.41405571238488</v>
      </c>
      <c r="O11" s="1">
        <f t="shared" si="21"/>
        <v>763.52517806011326</v>
      </c>
    </row>
    <row r="12" spans="1:15" x14ac:dyDescent="0.2">
      <c r="A12" s="1" t="s">
        <v>16</v>
      </c>
      <c r="H12" s="1">
        <f>SUM(H7:H11)</f>
        <v>212904</v>
      </c>
      <c r="I12" s="1">
        <f t="shared" ref="I12:O12" si="22">SUM(I7:I11)</f>
        <v>233194</v>
      </c>
      <c r="J12" s="1">
        <f t="shared" si="22"/>
        <v>243078</v>
      </c>
      <c r="K12" s="1">
        <f t="shared" si="22"/>
        <v>243078.49389169214</v>
      </c>
      <c r="L12" s="1">
        <f t="shared" si="22"/>
        <v>243079.00381455559</v>
      </c>
      <c r="M12" s="1">
        <f t="shared" si="22"/>
        <v>243079.52941989826</v>
      </c>
      <c r="N12" s="1">
        <f t="shared" si="22"/>
        <v>243080.07027856188</v>
      </c>
      <c r="O12" s="1">
        <f t="shared" si="22"/>
        <v>243080.62589030055</v>
      </c>
    </row>
    <row r="13" spans="1:15" x14ac:dyDescent="0.2">
      <c r="A13" s="1" t="s">
        <v>17</v>
      </c>
      <c r="H13" s="1">
        <f>H6-H12</f>
        <v>12248</v>
      </c>
      <c r="I13" s="1">
        <f t="shared" ref="I13:O13" si="23">I6-I12</f>
        <v>36852</v>
      </c>
      <c r="J13" s="1">
        <f t="shared" si="23"/>
        <v>68593</v>
      </c>
      <c r="K13" s="1">
        <f t="shared" si="23"/>
        <v>122610.05632437632</v>
      </c>
      <c r="L13" s="1">
        <f t="shared" si="23"/>
        <v>167963.79975149414</v>
      </c>
      <c r="M13" s="1">
        <f t="shared" si="23"/>
        <v>220257.57411430727</v>
      </c>
      <c r="N13" s="1">
        <f t="shared" si="23"/>
        <v>280646.1522028225</v>
      </c>
      <c r="O13" s="1">
        <f t="shared" si="23"/>
        <v>350481.76219793415</v>
      </c>
    </row>
    <row r="14" spans="1:15" x14ac:dyDescent="0.2">
      <c r="A14" s="1" t="s">
        <v>18</v>
      </c>
      <c r="H14" s="1">
        <v>989</v>
      </c>
      <c r="I14" s="1">
        <v>2949</v>
      </c>
      <c r="J14" s="1">
        <v>4677</v>
      </c>
      <c r="K14" s="1">
        <f>J38*$R$20</f>
        <v>-2971.28</v>
      </c>
      <c r="L14" s="1">
        <f t="shared" ref="L14:O14" si="24">K38*$R$20</f>
        <v>905.01635290979289</v>
      </c>
      <c r="M14" s="1">
        <f t="shared" si="24"/>
        <v>6376.3659946924799</v>
      </c>
      <c r="N14" s="1">
        <f t="shared" si="24"/>
        <v>13719.305654224072</v>
      </c>
      <c r="O14" s="1">
        <f t="shared" si="24"/>
        <v>23256.746488792382</v>
      </c>
    </row>
    <row r="15" spans="1:15" x14ac:dyDescent="0.2">
      <c r="A15" s="1" t="s">
        <v>19</v>
      </c>
      <c r="H15" s="1">
        <v>-2367</v>
      </c>
      <c r="I15" s="1">
        <v>-3182</v>
      </c>
      <c r="J15" s="1">
        <v>-2406</v>
      </c>
    </row>
    <row r="16" spans="1:15" x14ac:dyDescent="0.2">
      <c r="A16" s="1" t="s">
        <v>20</v>
      </c>
      <c r="H16" s="1">
        <f>H13+SUM(H14:H15)</f>
        <v>10870</v>
      </c>
      <c r="I16" s="1">
        <f t="shared" ref="I16:O16" si="25">I13+SUM(I14:I15)</f>
        <v>36619</v>
      </c>
      <c r="J16" s="1">
        <f t="shared" si="25"/>
        <v>70864</v>
      </c>
      <c r="K16" s="1">
        <f t="shared" si="25"/>
        <v>119638.77632437632</v>
      </c>
      <c r="L16" s="1">
        <f t="shared" si="25"/>
        <v>168868.81610440393</v>
      </c>
      <c r="M16" s="1">
        <f t="shared" si="25"/>
        <v>226633.94010899976</v>
      </c>
      <c r="N16" s="1">
        <f t="shared" si="25"/>
        <v>294365.45785704657</v>
      </c>
      <c r="O16" s="1">
        <f t="shared" si="25"/>
        <v>373738.50868672651</v>
      </c>
    </row>
    <row r="17" spans="1:107" x14ac:dyDescent="0.2">
      <c r="A17" s="1" t="s">
        <v>21</v>
      </c>
      <c r="H17" s="1">
        <v>-3217</v>
      </c>
      <c r="I17" s="1">
        <v>7120</v>
      </c>
      <c r="J17" s="1">
        <v>9265</v>
      </c>
      <c r="K17" s="1">
        <f>K16*K24</f>
        <v>22731.367501631499</v>
      </c>
      <c r="L17" s="1">
        <f t="shared" ref="L17:O17" si="26">L16*L24</f>
        <v>32085.075059836749</v>
      </c>
      <c r="M17" s="1">
        <f t="shared" si="26"/>
        <v>43060.448620709954</v>
      </c>
      <c r="N17" s="1">
        <f t="shared" si="26"/>
        <v>55929.436992838848</v>
      </c>
      <c r="O17" s="1">
        <f t="shared" si="26"/>
        <v>71010.316650478038</v>
      </c>
    </row>
    <row r="18" spans="1:107" s="3" customFormat="1" ht="15" x14ac:dyDescent="0.25">
      <c r="A18" s="3" t="s">
        <v>22</v>
      </c>
      <c r="H18" s="3">
        <f>H16-H17</f>
        <v>14087</v>
      </c>
      <c r="I18" s="3">
        <f t="shared" ref="I18:O18" si="27">I16-I17</f>
        <v>29499</v>
      </c>
      <c r="J18" s="3">
        <f t="shared" si="27"/>
        <v>61599</v>
      </c>
      <c r="K18" s="3">
        <f t="shared" si="27"/>
        <v>96907.408822744823</v>
      </c>
      <c r="L18" s="3">
        <f t="shared" si="27"/>
        <v>136783.74104456717</v>
      </c>
      <c r="M18" s="3">
        <f t="shared" si="27"/>
        <v>183573.49148828979</v>
      </c>
      <c r="N18" s="3">
        <f t="shared" si="27"/>
        <v>238436.02086420771</v>
      </c>
      <c r="O18" s="3">
        <f t="shared" si="27"/>
        <v>302728.19203624845</v>
      </c>
      <c r="P18" s="3">
        <f>O18*(1+$R$21)</f>
        <v>305755.47395661095</v>
      </c>
      <c r="Q18" s="3">
        <f t="shared" ref="Q18:CB18" si="28">P18*(1+$R$21)</f>
        <v>308813.02869617706</v>
      </c>
      <c r="R18" s="3">
        <f t="shared" si="28"/>
        <v>311901.15898313886</v>
      </c>
      <c r="S18" s="3">
        <f t="shared" si="28"/>
        <v>315020.17057297024</v>
      </c>
      <c r="T18" s="3">
        <f t="shared" si="28"/>
        <v>318170.37227869994</v>
      </c>
      <c r="U18" s="3">
        <f t="shared" si="28"/>
        <v>321352.07600148692</v>
      </c>
      <c r="V18" s="3">
        <f t="shared" si="28"/>
        <v>324565.5967615018</v>
      </c>
      <c r="W18" s="3">
        <f t="shared" si="28"/>
        <v>327811.25272911682</v>
      </c>
      <c r="X18" s="3">
        <f t="shared" si="28"/>
        <v>331089.365256408</v>
      </c>
      <c r="Y18" s="3">
        <f t="shared" si="28"/>
        <v>334400.25890897209</v>
      </c>
      <c r="Z18" s="3">
        <f t="shared" si="28"/>
        <v>337744.26149806182</v>
      </c>
      <c r="AA18" s="3">
        <f t="shared" si="28"/>
        <v>341121.70411304245</v>
      </c>
      <c r="AB18" s="3">
        <f t="shared" si="28"/>
        <v>344532.92115417286</v>
      </c>
      <c r="AC18" s="3">
        <f t="shared" si="28"/>
        <v>347978.2503657146</v>
      </c>
      <c r="AD18" s="3">
        <f t="shared" si="28"/>
        <v>351458.03286937176</v>
      </c>
      <c r="AE18" s="3">
        <f t="shared" si="28"/>
        <v>354972.61319806549</v>
      </c>
      <c r="AF18" s="3">
        <f t="shared" si="28"/>
        <v>358522.33933004615</v>
      </c>
      <c r="AG18" s="3">
        <f t="shared" si="28"/>
        <v>362107.56272334664</v>
      </c>
      <c r="AH18" s="3">
        <f t="shared" si="28"/>
        <v>365728.63835058012</v>
      </c>
      <c r="AI18" s="3">
        <f t="shared" si="28"/>
        <v>369385.92473408591</v>
      </c>
      <c r="AJ18" s="3">
        <f t="shared" si="28"/>
        <v>373079.78398142679</v>
      </c>
      <c r="AK18" s="3">
        <f t="shared" si="28"/>
        <v>376810.58182124107</v>
      </c>
      <c r="AL18" s="3">
        <f t="shared" si="28"/>
        <v>380578.68763945351</v>
      </c>
      <c r="AM18" s="3">
        <f t="shared" si="28"/>
        <v>384384.47451584804</v>
      </c>
      <c r="AN18" s="3">
        <f t="shared" si="28"/>
        <v>388228.31926100655</v>
      </c>
      <c r="AO18" s="3">
        <f t="shared" si="28"/>
        <v>392110.60245361662</v>
      </c>
      <c r="AP18" s="3">
        <f t="shared" si="28"/>
        <v>396031.70847815281</v>
      </c>
      <c r="AQ18" s="3">
        <f t="shared" si="28"/>
        <v>399992.02556293434</v>
      </c>
      <c r="AR18" s="3">
        <f t="shared" si="28"/>
        <v>403991.94581856369</v>
      </c>
      <c r="AS18" s="3">
        <f t="shared" si="28"/>
        <v>408031.8652767493</v>
      </c>
      <c r="AT18" s="3">
        <f t="shared" si="28"/>
        <v>412112.18392951682</v>
      </c>
      <c r="AU18" s="3">
        <f t="shared" si="28"/>
        <v>416233.30576881202</v>
      </c>
      <c r="AV18" s="3">
        <f t="shared" si="28"/>
        <v>420395.63882650016</v>
      </c>
      <c r="AW18" s="3">
        <f t="shared" si="28"/>
        <v>424599.59521476517</v>
      </c>
      <c r="AX18" s="3">
        <f t="shared" si="28"/>
        <v>428845.59116691281</v>
      </c>
      <c r="AY18" s="3">
        <f t="shared" si="28"/>
        <v>433134.04707858193</v>
      </c>
      <c r="AZ18" s="3">
        <f t="shared" si="28"/>
        <v>437465.38754936773</v>
      </c>
      <c r="BA18" s="3">
        <f t="shared" si="28"/>
        <v>441840.04142486141</v>
      </c>
      <c r="BB18" s="3">
        <f t="shared" si="28"/>
        <v>446258.44183911005</v>
      </c>
      <c r="BC18" s="3">
        <f t="shared" si="28"/>
        <v>450721.02625750116</v>
      </c>
      <c r="BD18" s="3">
        <f t="shared" si="28"/>
        <v>455228.23652007617</v>
      </c>
      <c r="BE18" s="3">
        <f t="shared" si="28"/>
        <v>459780.51888527692</v>
      </c>
      <c r="BF18" s="3">
        <f t="shared" si="28"/>
        <v>464378.32407412969</v>
      </c>
      <c r="BG18" s="3">
        <f t="shared" si="28"/>
        <v>469022.10731487098</v>
      </c>
      <c r="BH18" s="3">
        <f t="shared" si="28"/>
        <v>473712.3283880197</v>
      </c>
      <c r="BI18" s="3">
        <f t="shared" si="28"/>
        <v>478449.45167189988</v>
      </c>
      <c r="BJ18" s="3">
        <f t="shared" si="28"/>
        <v>483233.94618861889</v>
      </c>
      <c r="BK18" s="3">
        <f t="shared" si="28"/>
        <v>488066.2856505051</v>
      </c>
      <c r="BL18" s="3">
        <f t="shared" si="28"/>
        <v>492946.94850701018</v>
      </c>
      <c r="BM18" s="3">
        <f t="shared" si="28"/>
        <v>497876.41799208027</v>
      </c>
      <c r="BN18" s="3">
        <f t="shared" si="28"/>
        <v>502855.18217200111</v>
      </c>
      <c r="BO18" s="3">
        <f t="shared" si="28"/>
        <v>507883.73399372114</v>
      </c>
      <c r="BP18" s="3">
        <f t="shared" si="28"/>
        <v>512962.57133365836</v>
      </c>
      <c r="BQ18" s="3">
        <f t="shared" si="28"/>
        <v>518092.19704699493</v>
      </c>
      <c r="BR18" s="3">
        <f t="shared" si="28"/>
        <v>523273.11901746487</v>
      </c>
      <c r="BS18" s="3">
        <f t="shared" si="28"/>
        <v>528505.85020763951</v>
      </c>
      <c r="BT18" s="3">
        <f t="shared" si="28"/>
        <v>533790.90870971594</v>
      </c>
      <c r="BU18" s="3">
        <f t="shared" si="28"/>
        <v>539128.81779681309</v>
      </c>
      <c r="BV18" s="3">
        <f t="shared" si="28"/>
        <v>544520.10597478121</v>
      </c>
      <c r="BW18" s="3">
        <f t="shared" si="28"/>
        <v>549965.30703452905</v>
      </c>
      <c r="BX18" s="3">
        <f t="shared" si="28"/>
        <v>555464.96010487434</v>
      </c>
      <c r="BY18" s="3">
        <f t="shared" si="28"/>
        <v>561019.60970592313</v>
      </c>
      <c r="BZ18" s="3">
        <f t="shared" si="28"/>
        <v>566629.80580298242</v>
      </c>
      <c r="CA18" s="3">
        <f t="shared" si="28"/>
        <v>572296.10386101226</v>
      </c>
      <c r="CB18" s="3">
        <f t="shared" si="28"/>
        <v>578019.06489962235</v>
      </c>
      <c r="CC18" s="3">
        <f t="shared" ref="CC18:DC18" si="29">CB18*(1+$R$21)</f>
        <v>583799.25554861862</v>
      </c>
      <c r="CD18" s="3">
        <f t="shared" si="29"/>
        <v>589637.24810410477</v>
      </c>
      <c r="CE18" s="3">
        <f t="shared" si="29"/>
        <v>595533.62058514578</v>
      </c>
      <c r="CF18" s="3">
        <f t="shared" si="29"/>
        <v>601488.9567909973</v>
      </c>
      <c r="CG18" s="3">
        <f t="shared" si="29"/>
        <v>607503.84635890729</v>
      </c>
      <c r="CH18" s="3">
        <f t="shared" si="29"/>
        <v>613578.88482249633</v>
      </c>
      <c r="CI18" s="3">
        <f t="shared" si="29"/>
        <v>619714.67367072124</v>
      </c>
      <c r="CJ18" s="3">
        <f t="shared" si="29"/>
        <v>625911.82040742843</v>
      </c>
      <c r="CK18" s="3">
        <f t="shared" si="29"/>
        <v>632170.93861150276</v>
      </c>
      <c r="CL18" s="3">
        <f t="shared" si="29"/>
        <v>638492.64799761784</v>
      </c>
      <c r="CM18" s="3">
        <f t="shared" si="29"/>
        <v>644877.574477594</v>
      </c>
      <c r="CN18" s="3">
        <f t="shared" si="29"/>
        <v>651326.35022236989</v>
      </c>
      <c r="CO18" s="3">
        <f t="shared" si="29"/>
        <v>657839.61372459354</v>
      </c>
      <c r="CP18" s="3">
        <f t="shared" si="29"/>
        <v>664418.00986183947</v>
      </c>
      <c r="CQ18" s="3">
        <f t="shared" si="29"/>
        <v>671062.18996045785</v>
      </c>
      <c r="CR18" s="3">
        <f t="shared" si="29"/>
        <v>677772.81186006241</v>
      </c>
      <c r="CS18" s="3">
        <f t="shared" si="29"/>
        <v>684550.53997866309</v>
      </c>
      <c r="CT18" s="3">
        <f t="shared" si="29"/>
        <v>691396.04537844972</v>
      </c>
      <c r="CU18" s="3">
        <f t="shared" si="29"/>
        <v>698310.00583223428</v>
      </c>
      <c r="CV18" s="3">
        <f t="shared" si="29"/>
        <v>705293.10589055659</v>
      </c>
      <c r="CW18" s="3">
        <f t="shared" si="29"/>
        <v>712346.03694946214</v>
      </c>
      <c r="CX18" s="3">
        <f t="shared" si="29"/>
        <v>719469.49731895677</v>
      </c>
      <c r="CY18" s="3">
        <f t="shared" si="29"/>
        <v>726664.19229214638</v>
      </c>
      <c r="CZ18" s="3">
        <f t="shared" si="29"/>
        <v>733930.83421506791</v>
      </c>
      <c r="DA18" s="3">
        <f t="shared" si="29"/>
        <v>741270.14255721855</v>
      </c>
      <c r="DB18" s="3">
        <f t="shared" si="29"/>
        <v>748682.84398279071</v>
      </c>
      <c r="DC18" s="3">
        <f t="shared" si="29"/>
        <v>756169.67242261861</v>
      </c>
    </row>
    <row r="19" spans="1:107" x14ac:dyDescent="0.2">
      <c r="A19" s="1" t="s">
        <v>2</v>
      </c>
      <c r="R19" s="4"/>
    </row>
    <row r="20" spans="1:107" x14ac:dyDescent="0.2">
      <c r="A20" s="1" t="s">
        <v>23</v>
      </c>
      <c r="Q20" s="1" t="s">
        <v>43</v>
      </c>
      <c r="R20" s="5">
        <v>0.04</v>
      </c>
    </row>
    <row r="21" spans="1:107" x14ac:dyDescent="0.2">
      <c r="Q21" s="1" t="s">
        <v>44</v>
      </c>
      <c r="R21" s="5">
        <v>0.01</v>
      </c>
    </row>
    <row r="22" spans="1:107" s="3" customFormat="1" ht="15" x14ac:dyDescent="0.25">
      <c r="A22" s="3" t="s">
        <v>24</v>
      </c>
      <c r="I22" s="6">
        <f>I4/H4-1</f>
        <v>0.1182957412988368</v>
      </c>
      <c r="J22" s="6">
        <f>J4/I4-1</f>
        <v>0.1099089224666614</v>
      </c>
      <c r="K22" s="6">
        <f t="shared" ref="K22:O22" si="30">K4/J4-1</f>
        <v>9.8778338419867051E-2</v>
      </c>
      <c r="L22" s="6">
        <f t="shared" si="30"/>
        <v>0.10198457269970596</v>
      </c>
      <c r="M22" s="6">
        <f t="shared" si="30"/>
        <v>0.10512106852989533</v>
      </c>
      <c r="N22" s="6">
        <f t="shared" si="30"/>
        <v>0.10817173273540059</v>
      </c>
      <c r="O22" s="6">
        <f t="shared" si="30"/>
        <v>0.1111223477283696</v>
      </c>
      <c r="Q22" s="1" t="s">
        <v>45</v>
      </c>
      <c r="R22" s="5">
        <v>8.5000000000000006E-2</v>
      </c>
    </row>
    <row r="23" spans="1:107" x14ac:dyDescent="0.2">
      <c r="A23" s="1" t="s">
        <v>25</v>
      </c>
      <c r="Q23" s="1" t="s">
        <v>46</v>
      </c>
      <c r="R23" s="7">
        <f>NPV(R22,K36:XFD36)+Sheet1!D5-Sheet1!D6</f>
        <v>2380199.8429171978</v>
      </c>
    </row>
    <row r="24" spans="1:107" x14ac:dyDescent="0.2">
      <c r="A24" s="1" t="s">
        <v>26</v>
      </c>
      <c r="H24" s="4">
        <f>H17/H16</f>
        <v>-0.29595216191352347</v>
      </c>
      <c r="I24" s="4">
        <f t="shared" ref="I24:J24" si="31">I17/I16</f>
        <v>0.19443458313990006</v>
      </c>
      <c r="J24" s="4">
        <f t="shared" si="31"/>
        <v>0.13074339580040642</v>
      </c>
      <c r="K24" s="4">
        <v>0.19</v>
      </c>
      <c r="L24" s="4">
        <v>0.19</v>
      </c>
      <c r="M24" s="4">
        <v>0.19</v>
      </c>
      <c r="N24" s="4">
        <v>0.19</v>
      </c>
      <c r="O24" s="4">
        <v>0.19</v>
      </c>
      <c r="Q24" s="1" t="s">
        <v>1</v>
      </c>
      <c r="R24" s="1">
        <f>R23/Sheet1!D3</f>
        <v>224.59588806223971</v>
      </c>
    </row>
    <row r="25" spans="1:107" x14ac:dyDescent="0.2">
      <c r="H25" s="4"/>
      <c r="I25" s="4"/>
      <c r="J25" s="4"/>
      <c r="K25" s="4"/>
      <c r="L25" s="4"/>
      <c r="M25" s="4"/>
      <c r="N25" s="4"/>
      <c r="O25" s="4"/>
      <c r="Q25" s="1" t="s">
        <v>47</v>
      </c>
      <c r="R25" s="4">
        <f>R24/Sheet1!D2-1</f>
        <v>9.5589697864584044E-2</v>
      </c>
    </row>
    <row r="26" spans="1:107" x14ac:dyDescent="0.2">
      <c r="A26" s="1" t="s">
        <v>40</v>
      </c>
      <c r="I26" s="4">
        <f>I2/H2-1</f>
        <v>5.3462110077768354E-2</v>
      </c>
      <c r="J26" s="4">
        <f>J2/I2-1</f>
        <v>6.4184581475416946E-2</v>
      </c>
      <c r="K26" s="4">
        <f t="shared" ref="K26:O26" si="32">K2/J2-1</f>
        <v>3.0000000000000027E-2</v>
      </c>
      <c r="L26" s="4">
        <f t="shared" si="32"/>
        <v>3.0000000000000027E-2</v>
      </c>
      <c r="M26" s="4">
        <f t="shared" si="32"/>
        <v>3.0000000000000027E-2</v>
      </c>
      <c r="N26" s="4">
        <f t="shared" si="32"/>
        <v>3.0000000000000027E-2</v>
      </c>
      <c r="O26" s="4">
        <f t="shared" si="32"/>
        <v>3.0000000000000027E-2</v>
      </c>
    </row>
    <row r="27" spans="1:107" x14ac:dyDescent="0.2">
      <c r="A27" s="1" t="s">
        <v>41</v>
      </c>
      <c r="I27" s="4">
        <f>I3/H3-1</f>
        <v>0.17638943197999124</v>
      </c>
      <c r="J27" s="4">
        <f>J3/I3-1</f>
        <v>0.14659859892504823</v>
      </c>
      <c r="K27" s="4">
        <f>K3/J3-1</f>
        <v>0.14999999999999991</v>
      </c>
      <c r="L27" s="4">
        <f>L3/K3-1</f>
        <v>0.14999999999999991</v>
      </c>
      <c r="M27" s="4">
        <f>M3/L3-1</f>
        <v>0.14999999999999991</v>
      </c>
      <c r="N27" s="4">
        <f>N3/M3-1</f>
        <v>0.14999999999999991</v>
      </c>
      <c r="O27" s="4">
        <f>O3/N3-1</f>
        <v>0.14999999999999991</v>
      </c>
    </row>
    <row r="28" spans="1:107" x14ac:dyDescent="0.2">
      <c r="I28" s="4"/>
      <c r="J28" s="4"/>
      <c r="K28" s="4"/>
      <c r="L28" s="4"/>
      <c r="M28" s="4"/>
      <c r="N28" s="4"/>
      <c r="O28" s="4"/>
    </row>
    <row r="29" spans="1:107" s="3" customFormat="1" ht="15" x14ac:dyDescent="0.25">
      <c r="A29" s="3" t="s">
        <v>27</v>
      </c>
      <c r="H29" s="6">
        <f>H5/H4</f>
        <v>0.56194660134673713</v>
      </c>
      <c r="I29" s="6">
        <f t="shared" ref="I29:J29" si="33">I5/I4</f>
        <v>0.53017911044999433</v>
      </c>
      <c r="J29" s="6">
        <f t="shared" si="33"/>
        <v>0.51145606535843213</v>
      </c>
      <c r="K29" s="6">
        <f>J29*1.02</f>
        <v>0.52168518666560082</v>
      </c>
      <c r="L29" s="6">
        <f t="shared" ref="L29:O29" si="34">K29*1.02</f>
        <v>0.5321188903989128</v>
      </c>
      <c r="M29" s="6">
        <f t="shared" si="34"/>
        <v>0.54276126820689108</v>
      </c>
      <c r="N29" s="6">
        <f t="shared" si="34"/>
        <v>0.55361649357102893</v>
      </c>
      <c r="O29" s="6">
        <f t="shared" si="34"/>
        <v>0.56468882344244953</v>
      </c>
    </row>
    <row r="30" spans="1:107" x14ac:dyDescent="0.2">
      <c r="A30" s="1" t="s">
        <v>28</v>
      </c>
    </row>
    <row r="31" spans="1:107" x14ac:dyDescent="0.2">
      <c r="A31" s="1" t="s">
        <v>29</v>
      </c>
      <c r="H31" s="5">
        <f>H36/H4</f>
        <v>-3.2866845790619534E-2</v>
      </c>
      <c r="I31" s="5">
        <f>I36/I4</f>
        <v>5.6050523239124198E-2</v>
      </c>
      <c r="J31" s="5">
        <f>J36/J4</f>
        <v>5.1536227249713538E-2</v>
      </c>
      <c r="K31" s="5">
        <f t="shared" ref="K31:O31" si="35">K36/K4</f>
        <v>8.0211731889110099E-2</v>
      </c>
      <c r="L31" s="5">
        <f t="shared" si="35"/>
        <v>0.11017411447111355</v>
      </c>
      <c r="M31" s="5">
        <f t="shared" si="35"/>
        <v>0.14158637793737738</v>
      </c>
      <c r="N31" s="5">
        <f t="shared" si="35"/>
        <v>0.17463644927982852</v>
      </c>
      <c r="O31" s="5">
        <f t="shared" si="35"/>
        <v>0.20953892344126218</v>
      </c>
    </row>
    <row r="32" spans="1:107" x14ac:dyDescent="0.2">
      <c r="H32" s="5"/>
      <c r="I32" s="5"/>
      <c r="J32" s="5"/>
      <c r="K32" s="5"/>
      <c r="L32" s="5"/>
      <c r="M32" s="5"/>
      <c r="N32" s="5"/>
      <c r="O32" s="5"/>
    </row>
    <row r="33" spans="1:108" x14ac:dyDescent="0.2">
      <c r="H33" s="4">
        <f>H34/H4</f>
        <v>9.0960206855090542E-2</v>
      </c>
      <c r="I33" s="4">
        <f>I34/I4</f>
        <v>0.14778743356211452</v>
      </c>
      <c r="J33" s="4">
        <f>J34/J4</f>
        <v>0.18163706445085029</v>
      </c>
      <c r="K33" s="4">
        <f>J33*1.1</f>
        <v>0.19980077089593534</v>
      </c>
      <c r="L33" s="4">
        <f t="shared" ref="L33:O33" si="36">K33*1.1</f>
        <v>0.21978084798552888</v>
      </c>
      <c r="M33" s="4">
        <f t="shared" si="36"/>
        <v>0.24175893278408178</v>
      </c>
      <c r="N33" s="4">
        <f t="shared" si="36"/>
        <v>0.26593482606248997</v>
      </c>
      <c r="O33" s="4">
        <f t="shared" si="36"/>
        <v>0.29252830866873897</v>
      </c>
    </row>
    <row r="34" spans="1:108" x14ac:dyDescent="0.2">
      <c r="A34" s="1" t="s">
        <v>31</v>
      </c>
      <c r="H34" s="1">
        <v>46752</v>
      </c>
      <c r="I34" s="1">
        <v>84946</v>
      </c>
      <c r="J34" s="1">
        <v>115877</v>
      </c>
      <c r="K34" s="1">
        <f>K33*K4</f>
        <v>140055.45127318686</v>
      </c>
      <c r="L34" s="1">
        <f>L33*L4</f>
        <v>169772.84128810203</v>
      </c>
      <c r="M34" s="1">
        <f>M33*M4</f>
        <v>206381.49814883003</v>
      </c>
      <c r="N34" s="1">
        <f>N33*N4</f>
        <v>251576.75664892857</v>
      </c>
      <c r="O34" s="1">
        <f>O33*O4</f>
        <v>307485.8121298108</v>
      </c>
    </row>
    <row r="35" spans="1:108" x14ac:dyDescent="0.2">
      <c r="A35" s="1" t="s">
        <v>32</v>
      </c>
      <c r="H35" s="1">
        <v>63645</v>
      </c>
      <c r="I35" s="1">
        <v>52729</v>
      </c>
      <c r="J35" s="1">
        <v>82999</v>
      </c>
      <c r="K35" s="1">
        <f>J35*1.01</f>
        <v>83828.990000000005</v>
      </c>
      <c r="L35" s="1">
        <f t="shared" ref="L35:O35" si="37">K35*1.01</f>
        <v>84667.279900000009</v>
      </c>
      <c r="M35" s="1">
        <f t="shared" si="37"/>
        <v>85513.952699000016</v>
      </c>
      <c r="N35" s="1">
        <f t="shared" si="37"/>
        <v>86369.092225990011</v>
      </c>
      <c r="O35" s="1">
        <f t="shared" si="37"/>
        <v>87232.783148249917</v>
      </c>
    </row>
    <row r="36" spans="1:108" s="3" customFormat="1" ht="15" x14ac:dyDescent="0.25">
      <c r="A36" s="3" t="s">
        <v>30</v>
      </c>
      <c r="H36" s="3">
        <f>H34-H35</f>
        <v>-16893</v>
      </c>
      <c r="I36" s="3">
        <f t="shared" ref="I36:J36" si="38">I34-I35</f>
        <v>32217</v>
      </c>
      <c r="J36" s="3">
        <f t="shared" si="38"/>
        <v>32878</v>
      </c>
      <c r="K36" s="3">
        <f>K34-K35</f>
        <v>56226.461273186855</v>
      </c>
      <c r="L36" s="3">
        <f t="shared" ref="L36:O36" si="39">L34-L35</f>
        <v>85105.561388102025</v>
      </c>
      <c r="M36" s="3">
        <f t="shared" si="39"/>
        <v>120867.54544983001</v>
      </c>
      <c r="N36" s="3">
        <f t="shared" si="39"/>
        <v>165207.66442293854</v>
      </c>
      <c r="O36" s="3">
        <f t="shared" si="39"/>
        <v>220253.0289815609</v>
      </c>
      <c r="P36" s="3">
        <f>O36*(1+$R$21)</f>
        <v>222455.55927137652</v>
      </c>
      <c r="Q36" s="3">
        <f t="shared" ref="Q36:CB36" si="40">P36*(1+$R$21)</f>
        <v>224680.11486409028</v>
      </c>
      <c r="R36" s="3">
        <f t="shared" si="40"/>
        <v>226926.91601273118</v>
      </c>
      <c r="S36" s="3">
        <f t="shared" si="40"/>
        <v>229196.1851728585</v>
      </c>
      <c r="T36" s="3">
        <f t="shared" si="40"/>
        <v>231488.14702458709</v>
      </c>
      <c r="U36" s="3">
        <f t="shared" si="40"/>
        <v>233803.02849483295</v>
      </c>
      <c r="V36" s="3">
        <f t="shared" si="40"/>
        <v>236141.05877978128</v>
      </c>
      <c r="W36" s="3">
        <f t="shared" si="40"/>
        <v>238502.46936757909</v>
      </c>
      <c r="X36" s="3">
        <f t="shared" si="40"/>
        <v>240887.4940612549</v>
      </c>
      <c r="Y36" s="3">
        <f t="shared" si="40"/>
        <v>243296.36900186745</v>
      </c>
      <c r="Z36" s="3">
        <f t="shared" si="40"/>
        <v>245729.33269188614</v>
      </c>
      <c r="AA36" s="3">
        <f t="shared" si="40"/>
        <v>248186.62601880499</v>
      </c>
      <c r="AB36" s="3">
        <f t="shared" si="40"/>
        <v>250668.49227899304</v>
      </c>
      <c r="AC36" s="3">
        <f t="shared" si="40"/>
        <v>253175.17720178296</v>
      </c>
      <c r="AD36" s="3">
        <f t="shared" si="40"/>
        <v>255706.92897380079</v>
      </c>
      <c r="AE36" s="3">
        <f t="shared" si="40"/>
        <v>258263.99826353882</v>
      </c>
      <c r="AF36" s="3">
        <f t="shared" si="40"/>
        <v>260846.6382461742</v>
      </c>
      <c r="AG36" s="3">
        <f t="shared" si="40"/>
        <v>263455.10462863592</v>
      </c>
      <c r="AH36" s="3">
        <f t="shared" si="40"/>
        <v>266089.65567492228</v>
      </c>
      <c r="AI36" s="3">
        <f t="shared" si="40"/>
        <v>268750.55223167152</v>
      </c>
      <c r="AJ36" s="3">
        <f t="shared" si="40"/>
        <v>271438.05775398825</v>
      </c>
      <c r="AK36" s="3">
        <f t="shared" si="40"/>
        <v>274152.43833152816</v>
      </c>
      <c r="AL36" s="3">
        <f t="shared" si="40"/>
        <v>276893.96271484345</v>
      </c>
      <c r="AM36" s="3">
        <f t="shared" si="40"/>
        <v>279662.9023419919</v>
      </c>
      <c r="AN36" s="3">
        <f t="shared" si="40"/>
        <v>282459.53136541182</v>
      </c>
      <c r="AO36" s="3">
        <f t="shared" si="40"/>
        <v>285284.12667906593</v>
      </c>
      <c r="AP36" s="3">
        <f t="shared" si="40"/>
        <v>288136.96794585657</v>
      </c>
      <c r="AQ36" s="3">
        <f t="shared" si="40"/>
        <v>291018.33762531512</v>
      </c>
      <c r="AR36" s="3">
        <f t="shared" si="40"/>
        <v>293928.5210015683</v>
      </c>
      <c r="AS36" s="3">
        <f t="shared" si="40"/>
        <v>296867.80621158396</v>
      </c>
      <c r="AT36" s="3">
        <f t="shared" si="40"/>
        <v>299836.48427369981</v>
      </c>
      <c r="AU36" s="3">
        <f t="shared" si="40"/>
        <v>302834.84911643679</v>
      </c>
      <c r="AV36" s="3">
        <f t="shared" si="40"/>
        <v>305863.19760760118</v>
      </c>
      <c r="AW36" s="3">
        <f t="shared" si="40"/>
        <v>308921.82958367717</v>
      </c>
      <c r="AX36" s="3">
        <f t="shared" si="40"/>
        <v>312011.04787951394</v>
      </c>
      <c r="AY36" s="3">
        <f t="shared" si="40"/>
        <v>315131.15835830907</v>
      </c>
      <c r="AZ36" s="3">
        <f t="shared" si="40"/>
        <v>318282.46994189214</v>
      </c>
      <c r="BA36" s="3">
        <f t="shared" si="40"/>
        <v>321465.29464131105</v>
      </c>
      <c r="BB36" s="3">
        <f t="shared" si="40"/>
        <v>324679.94758772413</v>
      </c>
      <c r="BC36" s="3">
        <f t="shared" si="40"/>
        <v>327926.74706360139</v>
      </c>
      <c r="BD36" s="3">
        <f t="shared" si="40"/>
        <v>331206.01453423739</v>
      </c>
      <c r="BE36" s="3">
        <f t="shared" si="40"/>
        <v>334518.07467957976</v>
      </c>
      <c r="BF36" s="3">
        <f t="shared" si="40"/>
        <v>337863.25542637554</v>
      </c>
      <c r="BG36" s="3">
        <f t="shared" si="40"/>
        <v>341241.88798063929</v>
      </c>
      <c r="BH36" s="3">
        <f t="shared" si="40"/>
        <v>344654.30686044571</v>
      </c>
      <c r="BI36" s="3">
        <f t="shared" si="40"/>
        <v>348100.84992905019</v>
      </c>
      <c r="BJ36" s="3">
        <f t="shared" si="40"/>
        <v>351581.8584283407</v>
      </c>
      <c r="BK36" s="3">
        <f t="shared" si="40"/>
        <v>355097.6770126241</v>
      </c>
      <c r="BL36" s="3">
        <f t="shared" si="40"/>
        <v>358648.65378275036</v>
      </c>
      <c r="BM36" s="3">
        <f t="shared" si="40"/>
        <v>362235.14032057789</v>
      </c>
      <c r="BN36" s="3">
        <f t="shared" si="40"/>
        <v>365857.49172378366</v>
      </c>
      <c r="BO36" s="3">
        <f t="shared" si="40"/>
        <v>369516.06664102152</v>
      </c>
      <c r="BP36" s="3">
        <f t="shared" si="40"/>
        <v>373211.22730743175</v>
      </c>
      <c r="BQ36" s="3">
        <f t="shared" si="40"/>
        <v>376943.33958050609</v>
      </c>
      <c r="BR36" s="3">
        <f t="shared" si="40"/>
        <v>380712.77297631116</v>
      </c>
      <c r="BS36" s="3">
        <f t="shared" si="40"/>
        <v>384519.90070607426</v>
      </c>
      <c r="BT36" s="3">
        <f t="shared" si="40"/>
        <v>388365.09971313499</v>
      </c>
      <c r="BU36" s="3">
        <f t="shared" si="40"/>
        <v>392248.75071026635</v>
      </c>
      <c r="BV36" s="3">
        <f t="shared" si="40"/>
        <v>396171.23821736901</v>
      </c>
      <c r="BW36" s="3">
        <f t="shared" si="40"/>
        <v>400132.9505995427</v>
      </c>
      <c r="BX36" s="3">
        <f t="shared" si="40"/>
        <v>404134.28010553814</v>
      </c>
      <c r="BY36" s="3">
        <f t="shared" si="40"/>
        <v>408175.62290659355</v>
      </c>
      <c r="BZ36" s="3">
        <f t="shared" si="40"/>
        <v>412257.37913565949</v>
      </c>
      <c r="CA36" s="3">
        <f t="shared" si="40"/>
        <v>416379.95292701607</v>
      </c>
      <c r="CB36" s="3">
        <f t="shared" si="40"/>
        <v>420543.75245628622</v>
      </c>
      <c r="CC36" s="3">
        <f t="shared" ref="CC36:DD36" si="41">CB36*(1+$R$21)</f>
        <v>424749.1899808491</v>
      </c>
      <c r="CD36" s="3">
        <f t="shared" si="41"/>
        <v>428996.68188065762</v>
      </c>
      <c r="CE36" s="3">
        <f t="shared" si="41"/>
        <v>433286.64869946422</v>
      </c>
      <c r="CF36" s="3">
        <f t="shared" si="41"/>
        <v>437619.51518645888</v>
      </c>
      <c r="CG36" s="3">
        <f t="shared" si="41"/>
        <v>441995.71033832349</v>
      </c>
      <c r="CH36" s="3">
        <f t="shared" si="41"/>
        <v>446415.66744170676</v>
      </c>
      <c r="CI36" s="3">
        <f t="shared" si="41"/>
        <v>450879.82411612384</v>
      </c>
      <c r="CJ36" s="3">
        <f t="shared" si="41"/>
        <v>455388.62235728506</v>
      </c>
      <c r="CK36" s="3">
        <f t="shared" si="41"/>
        <v>459942.50858085789</v>
      </c>
      <c r="CL36" s="3">
        <f t="shared" si="41"/>
        <v>464541.93366666645</v>
      </c>
      <c r="CM36" s="3">
        <f t="shared" si="41"/>
        <v>469187.35300333309</v>
      </c>
      <c r="CN36" s="3">
        <f t="shared" si="41"/>
        <v>473879.22653336643</v>
      </c>
      <c r="CO36" s="3">
        <f t="shared" si="41"/>
        <v>478618.01879870007</v>
      </c>
      <c r="CP36" s="3">
        <f t="shared" si="41"/>
        <v>483404.19898668706</v>
      </c>
      <c r="CQ36" s="3">
        <f t="shared" si="41"/>
        <v>488238.24097655393</v>
      </c>
      <c r="CR36" s="3">
        <f t="shared" si="41"/>
        <v>493120.62338631949</v>
      </c>
      <c r="CS36" s="3">
        <f t="shared" si="41"/>
        <v>498051.82962018269</v>
      </c>
      <c r="CT36" s="3">
        <f t="shared" si="41"/>
        <v>503032.34791638452</v>
      </c>
      <c r="CU36" s="3">
        <f t="shared" si="41"/>
        <v>508062.67139554839</v>
      </c>
      <c r="CV36" s="3">
        <f t="shared" si="41"/>
        <v>513143.29810950387</v>
      </c>
      <c r="CW36" s="3">
        <f t="shared" si="41"/>
        <v>518274.73109059891</v>
      </c>
      <c r="CX36" s="3">
        <f t="shared" si="41"/>
        <v>523457.47840150492</v>
      </c>
      <c r="CY36" s="3">
        <f t="shared" si="41"/>
        <v>528692.05318552</v>
      </c>
      <c r="CZ36" s="3">
        <f t="shared" si="41"/>
        <v>533978.97371737519</v>
      </c>
      <c r="DA36" s="3">
        <f t="shared" si="41"/>
        <v>539318.7634545489</v>
      </c>
      <c r="DB36" s="3">
        <f t="shared" si="41"/>
        <v>544711.95108909439</v>
      </c>
      <c r="DC36" s="3">
        <f t="shared" si="41"/>
        <v>550159.07059998531</v>
      </c>
      <c r="DD36" s="3">
        <f t="shared" si="41"/>
        <v>555660.66130598518</v>
      </c>
    </row>
    <row r="38" spans="1:108" x14ac:dyDescent="0.2">
      <c r="A38" s="1" t="s">
        <v>33</v>
      </c>
      <c r="J38" s="1">
        <f>J40-J43</f>
        <v>-74282</v>
      </c>
      <c r="K38" s="1">
        <f>J38+K18</f>
        <v>22625.408822744823</v>
      </c>
      <c r="L38" s="1">
        <f>K38+L18</f>
        <v>159409.14986731199</v>
      </c>
      <c r="M38" s="1">
        <f>L38+M18</f>
        <v>342982.64135560178</v>
      </c>
      <c r="N38" s="1">
        <f>M38+N18</f>
        <v>581418.66221980948</v>
      </c>
      <c r="O38" s="1">
        <f>N38+O18</f>
        <v>884146.85425605788</v>
      </c>
    </row>
    <row r="40" spans="1:108" x14ac:dyDescent="0.2">
      <c r="A40" s="1" t="s">
        <v>4</v>
      </c>
      <c r="J40" s="1">
        <f>73387+13393</f>
        <v>86780</v>
      </c>
    </row>
    <row r="41" spans="1:108" x14ac:dyDescent="0.2">
      <c r="A41" s="1" t="s">
        <v>42</v>
      </c>
    </row>
    <row r="43" spans="1:108" x14ac:dyDescent="0.2">
      <c r="A43" s="1" t="s">
        <v>5</v>
      </c>
      <c r="J43" s="1">
        <f>58314+25451+77297</f>
        <v>161062</v>
      </c>
    </row>
    <row r="44" spans="1:108" x14ac:dyDescent="0.2">
      <c r="A44" s="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2025-04-25T03:58:41Z</dcterms:created>
  <dcterms:modified xsi:type="dcterms:W3CDTF">2025-05-29T22:27:40Z</dcterms:modified>
</cp:coreProperties>
</file>