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01AE689-8063-4B2B-A734-8D5EBCACA8A9}" xr6:coauthVersionLast="47" xr6:coauthVersionMax="47" xr10:uidLastSave="{00000000-0000-0000-0000-000000000000}"/>
  <bookViews>
    <workbookView xWindow="6045" yWindow="780" windowWidth="17745" windowHeight="14595" xr2:uid="{23A73D2F-BF64-4B2C-9A6B-330C60ED7DB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L14" i="2"/>
  <c r="K32" i="2"/>
  <c r="K31" i="2"/>
  <c r="D7" i="1"/>
  <c r="D6" i="1"/>
  <c r="M26" i="2"/>
  <c r="N26" i="2"/>
  <c r="O26" i="2"/>
  <c r="P26" i="2"/>
  <c r="L26" i="2"/>
  <c r="M28" i="2"/>
  <c r="N28" i="2" s="1"/>
  <c r="O28" i="2" s="1"/>
  <c r="P28" i="2" s="1"/>
  <c r="L28" i="2"/>
  <c r="P5" i="2"/>
  <c r="M15" i="2"/>
  <c r="N15" i="2" s="1"/>
  <c r="O15" i="2" s="1"/>
  <c r="P15" i="2" s="1"/>
  <c r="L15" i="2"/>
  <c r="K22" i="2"/>
  <c r="K21" i="2"/>
  <c r="M20" i="2"/>
  <c r="N20" i="2"/>
  <c r="O20" i="2"/>
  <c r="P20" i="2" s="1"/>
  <c r="L20" i="2"/>
  <c r="M22" i="2"/>
  <c r="N22" i="2"/>
  <c r="O22" i="2"/>
  <c r="P22" i="2"/>
  <c r="L22" i="2"/>
  <c r="K24" i="2"/>
  <c r="L12" i="2"/>
  <c r="L5" i="2"/>
  <c r="L6" i="2" s="1"/>
  <c r="M4" i="2"/>
  <c r="N4" i="2"/>
  <c r="O4" i="2" s="1"/>
  <c r="L4" i="2"/>
  <c r="M12" i="2"/>
  <c r="K28" i="2"/>
  <c r="K27" i="2"/>
  <c r="K26" i="2"/>
  <c r="D4" i="1"/>
  <c r="K19" i="2"/>
  <c r="K16" i="2"/>
  <c r="K14" i="2"/>
  <c r="K6" i="2"/>
  <c r="K12" i="2"/>
  <c r="K13" i="2" s="1"/>
  <c r="K18" i="2" s="1"/>
  <c r="D5" i="1"/>
  <c r="D8" i="1" s="1"/>
  <c r="J1" i="2"/>
  <c r="K1" i="2" s="1"/>
  <c r="L1" i="2" s="1"/>
  <c r="M1" i="2" s="1"/>
  <c r="N1" i="2" s="1"/>
  <c r="O1" i="2" s="1"/>
  <c r="P1" i="2" s="1"/>
  <c r="O5" i="2" l="1"/>
  <c r="M5" i="2"/>
  <c r="M6" i="2" s="1"/>
  <c r="M13" i="2" s="1"/>
  <c r="N5" i="2"/>
  <c r="N6" i="2" s="1"/>
  <c r="L13" i="2"/>
  <c r="L16" i="2" s="1"/>
  <c r="P4" i="2"/>
  <c r="P6" i="2" s="1"/>
  <c r="O6" i="2"/>
  <c r="M27" i="2"/>
  <c r="L27" i="2"/>
  <c r="N12" i="2" l="1"/>
  <c r="N13" i="2" s="1"/>
  <c r="N27" i="2" s="1"/>
  <c r="L17" i="2"/>
  <c r="L18" i="2" s="1"/>
  <c r="P12" i="2" l="1"/>
  <c r="P13" i="2" s="1"/>
  <c r="P27" i="2" s="1"/>
  <c r="O12" i="2"/>
  <c r="O13" i="2" s="1"/>
  <c r="O27" i="2" s="1"/>
  <c r="L30" i="2"/>
  <c r="L19" i="2"/>
  <c r="M14" i="2"/>
  <c r="M16" i="2" s="1"/>
  <c r="M17" i="2" l="1"/>
  <c r="M18" i="2" s="1"/>
  <c r="M30" i="2" l="1"/>
  <c r="N14" i="2" s="1"/>
  <c r="N16" i="2" s="1"/>
  <c r="N17" i="2" s="1"/>
  <c r="N18" i="2" s="1"/>
  <c r="M19" i="2"/>
  <c r="N30" i="2" l="1"/>
  <c r="O14" i="2" s="1"/>
  <c r="O16" i="2" s="1"/>
  <c r="O17" i="2" s="1"/>
  <c r="O18" i="2" s="1"/>
  <c r="N19" i="2"/>
  <c r="O30" i="2" l="1"/>
  <c r="P14" i="2" s="1"/>
  <c r="P16" i="2" s="1"/>
  <c r="P17" i="2" s="1"/>
  <c r="P18" i="2" s="1"/>
  <c r="P19" i="2" s="1"/>
  <c r="O19" i="2"/>
  <c r="P30" i="2" l="1"/>
  <c r="Q18" i="2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S24" i="2" l="1"/>
  <c r="S25" i="2" l="1"/>
  <c r="S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tc={4391175B-2EA0-468A-9084-56CE6683FEAF}</author>
  </authors>
  <commentList>
    <comment ref="G2" authorId="0" shapeId="0" xr:uid="{4391175B-2EA0-468A-9084-56CE6683FEAF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“due to sale of Sun Art”</t>
      </text>
    </comment>
  </commentList>
</comments>
</file>

<file path=xl/sharedStrings.xml><?xml version="1.0" encoding="utf-8"?>
<sst xmlns="http://schemas.openxmlformats.org/spreadsheetml/2006/main" count="53" uniqueCount="46">
  <si>
    <t>BABA</t>
  </si>
  <si>
    <t>Price</t>
  </si>
  <si>
    <t>Shares</t>
  </si>
  <si>
    <t>MC</t>
  </si>
  <si>
    <t>Cash</t>
  </si>
  <si>
    <t>Debt</t>
  </si>
  <si>
    <t>EV</t>
  </si>
  <si>
    <t>Main</t>
  </si>
  <si>
    <t>Revenue</t>
  </si>
  <si>
    <t>Q125</t>
  </si>
  <si>
    <t>Employees</t>
  </si>
  <si>
    <t>Q124</t>
  </si>
  <si>
    <t>Q224</t>
  </si>
  <si>
    <t>Q324</t>
  </si>
  <si>
    <t>Q424</t>
  </si>
  <si>
    <t>COGS</t>
  </si>
  <si>
    <t>R&amp;D</t>
  </si>
  <si>
    <t>S&amp;M</t>
  </si>
  <si>
    <t>G&amp;A</t>
  </si>
  <si>
    <t>Amort</t>
  </si>
  <si>
    <t>Other</t>
  </si>
  <si>
    <t>Pretax Income</t>
  </si>
  <si>
    <t>Operating Expenses</t>
  </si>
  <si>
    <t>Operating Income</t>
  </si>
  <si>
    <t>Tax</t>
  </si>
  <si>
    <t>Net Income</t>
  </si>
  <si>
    <t>EPS</t>
  </si>
  <si>
    <t>Revenue y/y</t>
  </si>
  <si>
    <t>Revenue q/q</t>
  </si>
  <si>
    <t>Tax Rate</t>
  </si>
  <si>
    <t>Gross Margin</t>
  </si>
  <si>
    <t>Operating Margin</t>
  </si>
  <si>
    <t>OPEX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</si>
  <si>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</si>
  <si>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</si>
  <si>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</si>
  <si>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</si>
  <si>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</si>
  <si>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</si>
  <si>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</si>
  <si>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</si>
  <si>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</si>
  <si>
    <t>Gross Profit</t>
  </si>
  <si>
    <t>Interest Income</t>
  </si>
  <si>
    <t>Other Income</t>
  </si>
  <si>
    <t>8:1 ADR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</si>
</sst>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2" fillId="0" borderId="0" xfId="1" applyNumberForma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9" fontId="0" fillId="0" borderId="0" xfId="0" applyNumberFormat="1"/>
    <xf numFmtId="3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0</xdr:row>
      <xdr:rowOff>0</xdr:rowOff>
    </xdr:from>
    <xdr:to>
      <xdr:col>11</xdr:col>
      <xdr:colOff>0</xdr:colOff>
      <xdr:row>56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D6A1B4-A616-15D2-A1F7-DC69FD9BF2B1}"/>
            </a:ext>
          </a:extLst>
        </xdr:cNvPr>
        <xdr:cNvCxnSpPr/>
      </xdr:nvCxnSpPr>
      <xdr:spPr>
        <a:xfrm flipH="1">
          <a:off x="7848600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56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6313EE-40CD-43D1-9B39-ED915E871B68}"/>
            </a:ext>
          </a:extLst>
        </xdr:cNvPr>
        <xdr:cNvCxnSpPr/>
      </xdr:nvCxnSpPr>
      <xdr:spPr>
        <a:xfrm flipH="1">
          <a:off x="5114925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B189F785-B9A2-429A-9544-138F2B51486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5-24T00:49:08.02" personId="{B189F785-B9A2-429A-9544-138F2B514862}" id="{4391175B-2EA0-468A-9084-56CE6683FEAF}">
    <text>“due to sale of Sun Art”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699E-D507-4BE7-B873-888DB36189B3}">
  <dimension ref="A1:F8"/>
  <sheetViews>
    <sheetView tabSelected="1" zoomScale="190" zoomScaleNormal="190" workbookViewId="0">
      <selection activeCell="D4" sqref="D4"/>
    </sheetView>
  </sheetViews>
  <sheetFormatPr defaultRowHeight="14.25" x14ac:dyDescent="0.2"/>
  <sheetData>
    <row r="1" spans="1:6" ht="15" x14ac:dyDescent="0.25">
      <c r="A1" s="1" t="s">
        <v>0</v>
      </c>
    </row>
    <row r="3" spans="1:6" x14ac:dyDescent="0.2">
      <c r="C3" t="s">
        <v>1</v>
      </c>
      <c r="D3" s="8">
        <v>117</v>
      </c>
    </row>
    <row r="4" spans="1:6" x14ac:dyDescent="0.2">
      <c r="C4" t="s">
        <v>2</v>
      </c>
      <c r="D4" s="3">
        <f>19318/8</f>
        <v>2414.75</v>
      </c>
      <c r="E4" t="s">
        <v>9</v>
      </c>
      <c r="F4" t="s">
        <v>45</v>
      </c>
    </row>
    <row r="5" spans="1:6" x14ac:dyDescent="0.2">
      <c r="C5" t="s">
        <v>3</v>
      </c>
      <c r="D5" s="3">
        <f>D4*D3</f>
        <v>282525.75</v>
      </c>
    </row>
    <row r="6" spans="1:6" x14ac:dyDescent="0.2">
      <c r="C6" t="s">
        <v>4</v>
      </c>
      <c r="D6" s="3">
        <f>20.1+31.53+7.4+27.86+6.03</f>
        <v>92.92</v>
      </c>
      <c r="E6" t="s">
        <v>9</v>
      </c>
    </row>
    <row r="7" spans="1:6" x14ac:dyDescent="0.2">
      <c r="C7" t="s">
        <v>5</v>
      </c>
      <c r="D7" s="3">
        <f>6.7+6.9+16.9+4.9+2.4</f>
        <v>37.799999999999997</v>
      </c>
      <c r="E7" t="s">
        <v>9</v>
      </c>
    </row>
    <row r="8" spans="1:6" x14ac:dyDescent="0.2">
      <c r="C8" t="s">
        <v>6</v>
      </c>
      <c r="D8" s="3">
        <f>D5+D6-D7</f>
        <v>282580.87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1115-5B04-4E2D-8D07-DB8D1E8FDB42}">
  <dimension ref="A1:DJ36"/>
  <sheetViews>
    <sheetView workbookViewId="0">
      <pane xSplit="2" ySplit="1" topLeftCell="J3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RowHeight="14.25" x14ac:dyDescent="0.2"/>
  <cols>
    <col min="1" max="1" width="4.25" style="3" customWidth="1"/>
    <col min="2" max="2" width="17.875" style="3" customWidth="1"/>
    <col min="3" max="16384" width="9" style="3"/>
  </cols>
  <sheetData>
    <row r="1" spans="1:16" x14ac:dyDescent="0.2">
      <c r="A1" s="2" t="s">
        <v>7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9</v>
      </c>
      <c r="I1" s="5">
        <v>2022</v>
      </c>
      <c r="J1" s="5">
        <f>I1+1</f>
        <v>2023</v>
      </c>
      <c r="K1" s="5">
        <f t="shared" ref="K1:P1" si="0">J1+1</f>
        <v>2024</v>
      </c>
      <c r="L1" s="5">
        <f t="shared" si="0"/>
        <v>2025</v>
      </c>
      <c r="M1" s="5">
        <f t="shared" si="0"/>
        <v>2026</v>
      </c>
      <c r="N1" s="5">
        <f t="shared" si="0"/>
        <v>2027</v>
      </c>
      <c r="O1" s="5">
        <f t="shared" si="0"/>
        <v>2028</v>
      </c>
      <c r="P1" s="5">
        <f t="shared" si="0"/>
        <v>2029</v>
      </c>
    </row>
    <row r="2" spans="1:16" x14ac:dyDescent="0.2">
      <c r="A2" s="2"/>
      <c r="B2" s="3" t="s">
        <v>10</v>
      </c>
      <c r="C2" s="3">
        <v>204891</v>
      </c>
      <c r="G2" s="3">
        <v>124320</v>
      </c>
    </row>
    <row r="3" spans="1:16" x14ac:dyDescent="0.2">
      <c r="A3" s="2"/>
    </row>
    <row r="4" spans="1:16" s="4" customFormat="1" ht="15" x14ac:dyDescent="0.25">
      <c r="A4" s="3"/>
      <c r="B4" s="4" t="s">
        <v>8</v>
      </c>
      <c r="K4" s="4">
        <v>137300</v>
      </c>
      <c r="L4" s="4">
        <f>K4*1.04</f>
        <v>142792</v>
      </c>
      <c r="M4" s="4">
        <f t="shared" ref="M4:P4" si="1">L4*1.04</f>
        <v>148503.67999999999</v>
      </c>
      <c r="N4" s="4">
        <f t="shared" si="1"/>
        <v>154443.8272</v>
      </c>
      <c r="O4" s="4">
        <f t="shared" si="1"/>
        <v>160621.580288</v>
      </c>
      <c r="P4" s="4">
        <f t="shared" si="1"/>
        <v>167046.44349952001</v>
      </c>
    </row>
    <row r="5" spans="1:16" x14ac:dyDescent="0.2">
      <c r="B5" s="3" t="s">
        <v>15</v>
      </c>
      <c r="K5" s="3">
        <v>82446</v>
      </c>
      <c r="L5" s="3">
        <f>L4*(1-L26)</f>
        <v>85173.358399999997</v>
      </c>
      <c r="M5" s="3">
        <f t="shared" ref="M5:P5" si="2">M4*(1-M26)</f>
        <v>87981.058863359984</v>
      </c>
      <c r="N5" s="3">
        <f t="shared" si="2"/>
        <v>90870.865958073351</v>
      </c>
      <c r="O5" s="3">
        <f t="shared" si="2"/>
        <v>93844.541799480241</v>
      </c>
      <c r="P5" s="3">
        <f t="shared" si="2"/>
        <v>96903.842271178859</v>
      </c>
    </row>
    <row r="6" spans="1:16" x14ac:dyDescent="0.2">
      <c r="B6" s="3" t="s">
        <v>42</v>
      </c>
      <c r="K6" s="3">
        <f>K4-K5</f>
        <v>54854</v>
      </c>
      <c r="L6" s="3">
        <f t="shared" ref="L6:P6" si="3">L4-L5</f>
        <v>57618.641600000003</v>
      </c>
      <c r="M6" s="3">
        <f t="shared" si="3"/>
        <v>60522.621136640009</v>
      </c>
      <c r="N6" s="3">
        <f t="shared" si="3"/>
        <v>63572.961241926649</v>
      </c>
      <c r="O6" s="3">
        <f t="shared" si="3"/>
        <v>66777.038488519756</v>
      </c>
      <c r="P6" s="3">
        <f t="shared" si="3"/>
        <v>70142.601228341155</v>
      </c>
    </row>
    <row r="7" spans="1:16" x14ac:dyDescent="0.2">
      <c r="B7" s="3" t="s">
        <v>16</v>
      </c>
      <c r="K7" s="3">
        <v>7876</v>
      </c>
    </row>
    <row r="8" spans="1:16" x14ac:dyDescent="0.2">
      <c r="B8" s="3" t="s">
        <v>17</v>
      </c>
      <c r="K8" s="3">
        <v>19847</v>
      </c>
    </row>
    <row r="9" spans="1:16" x14ac:dyDescent="0.2">
      <c r="B9" s="3" t="s">
        <v>18</v>
      </c>
      <c r="K9" s="3">
        <v>6096</v>
      </c>
    </row>
    <row r="10" spans="1:16" x14ac:dyDescent="0.2">
      <c r="B10" s="3" t="s">
        <v>19</v>
      </c>
      <c r="K10" s="3">
        <v>873</v>
      </c>
    </row>
    <row r="11" spans="1:16" x14ac:dyDescent="0.2">
      <c r="B11" s="3" t="s">
        <v>20</v>
      </c>
      <c r="K11" s="3">
        <v>105</v>
      </c>
    </row>
    <row r="12" spans="1:16" x14ac:dyDescent="0.2">
      <c r="B12" s="3" t="s">
        <v>22</v>
      </c>
      <c r="K12" s="3">
        <f>SUM(K7:K11)</f>
        <v>34797</v>
      </c>
      <c r="L12" s="3">
        <f>L4*L28</f>
        <v>35826.991199999997</v>
      </c>
      <c r="M12" s="3">
        <f t="shared" ref="M12:P12" si="4">M4*M28</f>
        <v>36887.470139519988</v>
      </c>
      <c r="N12" s="3">
        <f t="shared" si="4"/>
        <v>37979.339255649786</v>
      </c>
      <c r="O12" s="3">
        <f t="shared" si="4"/>
        <v>39103.527697617021</v>
      </c>
      <c r="P12" s="3">
        <f t="shared" si="4"/>
        <v>40260.992117466485</v>
      </c>
    </row>
    <row r="13" spans="1:16" x14ac:dyDescent="0.2">
      <c r="B13" s="3" t="s">
        <v>23</v>
      </c>
      <c r="K13" s="3">
        <f>K6-K12</f>
        <v>20057</v>
      </c>
      <c r="L13" s="3">
        <f t="shared" ref="L13:P13" si="5">L6-L12</f>
        <v>21791.650400000006</v>
      </c>
      <c r="M13" s="3">
        <f t="shared" si="5"/>
        <v>23635.150997120021</v>
      </c>
      <c r="N13" s="3">
        <f t="shared" si="5"/>
        <v>25593.621986276863</v>
      </c>
      <c r="O13" s="3">
        <f t="shared" si="5"/>
        <v>27673.510790902736</v>
      </c>
      <c r="P13" s="3">
        <f t="shared" si="5"/>
        <v>29881.60911087467</v>
      </c>
    </row>
    <row r="14" spans="1:16" x14ac:dyDescent="0.2">
      <c r="B14" s="3" t="s">
        <v>43</v>
      </c>
      <c r="K14" s="3">
        <f>2861-1323</f>
        <v>1538</v>
      </c>
      <c r="L14" s="3">
        <f>K30*$S$21</f>
        <v>2.2048000000000001</v>
      </c>
      <c r="M14" s="3">
        <f>L30*$S$21</f>
        <v>705.94296832000009</v>
      </c>
      <c r="N14" s="3">
        <f>M30*$S$21</f>
        <v>1490.4749285079047</v>
      </c>
      <c r="O14" s="3">
        <f>N30*$S$21</f>
        <v>2361.9928497127034</v>
      </c>
      <c r="P14" s="3">
        <f>O30*$S$21</f>
        <v>3327.0884326277032</v>
      </c>
    </row>
    <row r="15" spans="1:16" x14ac:dyDescent="0.2">
      <c r="B15" s="3" t="s">
        <v>44</v>
      </c>
      <c r="K15" s="3">
        <v>467</v>
      </c>
      <c r="L15" s="3">
        <f>K15*1.02</f>
        <v>476.34000000000003</v>
      </c>
      <c r="M15" s="3">
        <f t="shared" ref="M15:P15" si="6">L15*1.02</f>
        <v>485.86680000000007</v>
      </c>
      <c r="N15" s="3">
        <f t="shared" si="6"/>
        <v>495.58413600000006</v>
      </c>
      <c r="O15" s="3">
        <f t="shared" si="6"/>
        <v>505.49581872000005</v>
      </c>
      <c r="P15" s="3">
        <f t="shared" si="6"/>
        <v>515.60573509440007</v>
      </c>
    </row>
    <row r="16" spans="1:16" x14ac:dyDescent="0.2">
      <c r="B16" s="3" t="s">
        <v>21</v>
      </c>
      <c r="K16" s="3">
        <f>SUM(K13:K15)</f>
        <v>22062</v>
      </c>
      <c r="L16" s="3">
        <f t="shared" ref="L16:P16" si="7">SUM(L13:L15)</f>
        <v>22270.195200000006</v>
      </c>
      <c r="M16" s="3">
        <f t="shared" si="7"/>
        <v>24826.960765440021</v>
      </c>
      <c r="N16" s="3">
        <f t="shared" si="7"/>
        <v>27579.681050784769</v>
      </c>
      <c r="O16" s="3">
        <f t="shared" si="7"/>
        <v>30540.999459335439</v>
      </c>
      <c r="P16" s="3">
        <f t="shared" si="7"/>
        <v>33724.303278596773</v>
      </c>
    </row>
    <row r="17" spans="1:114" x14ac:dyDescent="0.2">
      <c r="B17" s="3" t="s">
        <v>24</v>
      </c>
      <c r="K17" s="3">
        <v>4884</v>
      </c>
      <c r="L17" s="3">
        <f>L16*L24</f>
        <v>4676.7409920000009</v>
      </c>
      <c r="M17" s="3">
        <f t="shared" ref="M17:P17" si="8">M16*M24</f>
        <v>5213.6617607424041</v>
      </c>
      <c r="N17" s="3">
        <f t="shared" si="8"/>
        <v>5791.7330206648012</v>
      </c>
      <c r="O17" s="3">
        <f t="shared" si="8"/>
        <v>6413.6098864604419</v>
      </c>
      <c r="P17" s="3">
        <f t="shared" si="8"/>
        <v>7082.1036885053218</v>
      </c>
    </row>
    <row r="18" spans="1:114" s="4" customFormat="1" ht="15" x14ac:dyDescent="0.25">
      <c r="A18" s="3"/>
      <c r="B18" s="4" t="s">
        <v>25</v>
      </c>
      <c r="K18" s="4">
        <f>K16-K17</f>
        <v>17178</v>
      </c>
      <c r="L18" s="4">
        <f t="shared" ref="L18:P18" si="9">L16-L17</f>
        <v>17593.454208000003</v>
      </c>
      <c r="M18" s="4">
        <f t="shared" si="9"/>
        <v>19613.299004697616</v>
      </c>
      <c r="N18" s="4">
        <f t="shared" si="9"/>
        <v>21787.948030119969</v>
      </c>
      <c r="O18" s="4">
        <f t="shared" si="9"/>
        <v>24127.389572874996</v>
      </c>
      <c r="P18" s="4">
        <f t="shared" si="9"/>
        <v>26642.199590091452</v>
      </c>
      <c r="Q18" s="4">
        <f t="shared" ref="Q18:AV18" si="10">P18*(1+$S$22)</f>
        <v>26908.621585992365</v>
      </c>
      <c r="R18" s="4">
        <f t="shared" si="10"/>
        <v>27177.707801852288</v>
      </c>
      <c r="S18" s="4">
        <f t="shared" si="10"/>
        <v>27449.484879870812</v>
      </c>
      <c r="T18" s="4">
        <f t="shared" si="10"/>
        <v>27723.979728669521</v>
      </c>
      <c r="U18" s="4">
        <f t="shared" si="10"/>
        <v>28001.219525956218</v>
      </c>
      <c r="V18" s="4">
        <f t="shared" si="10"/>
        <v>28281.23172121578</v>
      </c>
      <c r="W18" s="4">
        <f t="shared" si="10"/>
        <v>28564.044038427939</v>
      </c>
      <c r="X18" s="4">
        <f t="shared" si="10"/>
        <v>28849.684478812218</v>
      </c>
      <c r="Y18" s="4">
        <f t="shared" si="10"/>
        <v>29138.18132360034</v>
      </c>
      <c r="Z18" s="4">
        <f t="shared" si="10"/>
        <v>29429.563136836343</v>
      </c>
      <c r="AA18" s="4">
        <f t="shared" si="10"/>
        <v>29723.858768204707</v>
      </c>
      <c r="AB18" s="4">
        <f t="shared" si="10"/>
        <v>30021.097355886755</v>
      </c>
      <c r="AC18" s="4">
        <f t="shared" si="10"/>
        <v>30321.308329445623</v>
      </c>
      <c r="AD18" s="4">
        <f t="shared" si="10"/>
        <v>30624.52141274008</v>
      </c>
      <c r="AE18" s="4">
        <f t="shared" si="10"/>
        <v>30930.76662686748</v>
      </c>
      <c r="AF18" s="4">
        <f t="shared" si="10"/>
        <v>31240.074293136156</v>
      </c>
      <c r="AG18" s="4">
        <f t="shared" si="10"/>
        <v>31552.475036067517</v>
      </c>
      <c r="AH18" s="4">
        <f t="shared" si="10"/>
        <v>31867.999786428194</v>
      </c>
      <c r="AI18" s="4">
        <f t="shared" si="10"/>
        <v>32186.679784292475</v>
      </c>
      <c r="AJ18" s="4">
        <f t="shared" si="10"/>
        <v>32508.546582135401</v>
      </c>
      <c r="AK18" s="4">
        <f t="shared" si="10"/>
        <v>32833.632047956758</v>
      </c>
      <c r="AL18" s="4">
        <f t="shared" si="10"/>
        <v>33161.968368436326</v>
      </c>
      <c r="AM18" s="4">
        <f t="shared" si="10"/>
        <v>33493.588052120693</v>
      </c>
      <c r="AN18" s="4">
        <f t="shared" si="10"/>
        <v>33828.523932641903</v>
      </c>
      <c r="AO18" s="4">
        <f t="shared" si="10"/>
        <v>34166.809171968322</v>
      </c>
      <c r="AP18" s="4">
        <f t="shared" si="10"/>
        <v>34508.477263688008</v>
      </c>
      <c r="AQ18" s="4">
        <f t="shared" si="10"/>
        <v>34853.562036324889</v>
      </c>
      <c r="AR18" s="4">
        <f t="shared" si="10"/>
        <v>35202.097656688136</v>
      </c>
      <c r="AS18" s="4">
        <f t="shared" si="10"/>
        <v>35554.118633255021</v>
      </c>
      <c r="AT18" s="4">
        <f t="shared" si="10"/>
        <v>35909.65981958757</v>
      </c>
      <c r="AU18" s="4">
        <f t="shared" si="10"/>
        <v>36268.756417783443</v>
      </c>
      <c r="AV18" s="4">
        <f t="shared" si="10"/>
        <v>36631.443981961274</v>
      </c>
      <c r="AW18" s="4">
        <f t="shared" ref="AW18:CB18" si="11">AV18*(1+$S$22)</f>
        <v>36997.758421780891</v>
      </c>
      <c r="AX18" s="4">
        <f t="shared" si="11"/>
        <v>37367.736005998697</v>
      </c>
      <c r="AY18" s="4">
        <f t="shared" si="11"/>
        <v>37741.413366058681</v>
      </c>
      <c r="AZ18" s="4">
        <f t="shared" si="11"/>
        <v>38118.827499719271</v>
      </c>
      <c r="BA18" s="4">
        <f t="shared" si="11"/>
        <v>38500.015774716463</v>
      </c>
      <c r="BB18" s="4">
        <f t="shared" si="11"/>
        <v>38885.015932463626</v>
      </c>
      <c r="BC18" s="4">
        <f t="shared" si="11"/>
        <v>39273.866091788266</v>
      </c>
      <c r="BD18" s="4">
        <f t="shared" si="11"/>
        <v>39666.604752706153</v>
      </c>
      <c r="BE18" s="4">
        <f t="shared" si="11"/>
        <v>40063.270800233215</v>
      </c>
      <c r="BF18" s="4">
        <f t="shared" si="11"/>
        <v>40463.903508235548</v>
      </c>
      <c r="BG18" s="4">
        <f t="shared" si="11"/>
        <v>40868.542543317904</v>
      </c>
      <c r="BH18" s="4">
        <f t="shared" si="11"/>
        <v>41277.227968751082</v>
      </c>
      <c r="BI18" s="4">
        <f t="shared" si="11"/>
        <v>41690.000248438591</v>
      </c>
      <c r="BJ18" s="4">
        <f t="shared" si="11"/>
        <v>42106.900250922976</v>
      </c>
      <c r="BK18" s="4">
        <f t="shared" si="11"/>
        <v>42527.969253432209</v>
      </c>
      <c r="BL18" s="4">
        <f t="shared" si="11"/>
        <v>42953.24894596653</v>
      </c>
      <c r="BM18" s="4">
        <f t="shared" si="11"/>
        <v>43382.781435426194</v>
      </c>
      <c r="BN18" s="4">
        <f t="shared" si="11"/>
        <v>43816.609249780457</v>
      </c>
      <c r="BO18" s="4">
        <f t="shared" si="11"/>
        <v>44254.775342278263</v>
      </c>
      <c r="BP18" s="4">
        <f t="shared" si="11"/>
        <v>44697.323095701046</v>
      </c>
      <c r="BQ18" s="4">
        <f t="shared" si="11"/>
        <v>45144.296326658055</v>
      </c>
      <c r="BR18" s="4">
        <f t="shared" si="11"/>
        <v>45595.739289924633</v>
      </c>
      <c r="BS18" s="4">
        <f t="shared" si="11"/>
        <v>46051.69668282388</v>
      </c>
      <c r="BT18" s="4">
        <f t="shared" si="11"/>
        <v>46512.21364965212</v>
      </c>
      <c r="BU18" s="4">
        <f t="shared" si="11"/>
        <v>46977.335786148644</v>
      </c>
      <c r="BV18" s="4">
        <f t="shared" si="11"/>
        <v>47447.10914401013</v>
      </c>
      <c r="BW18" s="4">
        <f t="shared" si="11"/>
        <v>47921.58023545023</v>
      </c>
      <c r="BX18" s="4">
        <f t="shared" si="11"/>
        <v>48400.796037804736</v>
      </c>
      <c r="BY18" s="4">
        <f t="shared" si="11"/>
        <v>48884.803998182782</v>
      </c>
      <c r="BZ18" s="4">
        <f t="shared" si="11"/>
        <v>49373.652038164611</v>
      </c>
      <c r="CA18" s="4">
        <f t="shared" si="11"/>
        <v>49867.388558546256</v>
      </c>
      <c r="CB18" s="4">
        <f t="shared" si="11"/>
        <v>50366.06244413172</v>
      </c>
      <c r="CC18" s="4">
        <f t="shared" ref="CC18:DJ18" si="12">CB18*(1+$S$22)</f>
        <v>50869.723068573039</v>
      </c>
      <c r="CD18" s="4">
        <f t="shared" si="12"/>
        <v>51378.420299258767</v>
      </c>
      <c r="CE18" s="4">
        <f t="shared" si="12"/>
        <v>51892.204502251356</v>
      </c>
      <c r="CF18" s="4">
        <f t="shared" si="12"/>
        <v>52411.126547273867</v>
      </c>
      <c r="CG18" s="4">
        <f t="shared" si="12"/>
        <v>52935.237812746607</v>
      </c>
      <c r="CH18" s="4">
        <f t="shared" si="12"/>
        <v>53464.590190874071</v>
      </c>
      <c r="CI18" s="4">
        <f t="shared" si="12"/>
        <v>53999.236092782812</v>
      </c>
      <c r="CJ18" s="4">
        <f t="shared" si="12"/>
        <v>54539.228453710639</v>
      </c>
      <c r="CK18" s="4">
        <f t="shared" si="12"/>
        <v>55084.620738247744</v>
      </c>
      <c r="CL18" s="4">
        <f t="shared" si="12"/>
        <v>55635.466945630222</v>
      </c>
      <c r="CM18" s="4">
        <f t="shared" si="12"/>
        <v>56191.821615086526</v>
      </c>
      <c r="CN18" s="4">
        <f t="shared" si="12"/>
        <v>56753.739831237392</v>
      </c>
      <c r="CO18" s="4">
        <f t="shared" si="12"/>
        <v>57321.277229549763</v>
      </c>
      <c r="CP18" s="4">
        <f t="shared" si="12"/>
        <v>57894.490001845261</v>
      </c>
      <c r="CQ18" s="4">
        <f t="shared" si="12"/>
        <v>58473.434901863715</v>
      </c>
      <c r="CR18" s="4">
        <f t="shared" si="12"/>
        <v>59058.169250882354</v>
      </c>
      <c r="CS18" s="4">
        <f t="shared" si="12"/>
        <v>59648.750943391176</v>
      </c>
      <c r="CT18" s="4">
        <f t="shared" si="12"/>
        <v>60245.238452825091</v>
      </c>
      <c r="CU18" s="4">
        <f t="shared" si="12"/>
        <v>60847.690837353344</v>
      </c>
      <c r="CV18" s="4">
        <f t="shared" si="12"/>
        <v>61456.167745726882</v>
      </c>
      <c r="CW18" s="4">
        <f t="shared" si="12"/>
        <v>62070.729423184152</v>
      </c>
      <c r="CX18" s="4">
        <f t="shared" si="12"/>
        <v>62691.436717415992</v>
      </c>
      <c r="CY18" s="4">
        <f t="shared" si="12"/>
        <v>63318.351084590155</v>
      </c>
      <c r="CZ18" s="4">
        <f t="shared" si="12"/>
        <v>63951.53459543606</v>
      </c>
      <c r="DA18" s="4">
        <f t="shared" si="12"/>
        <v>64591.049941390418</v>
      </c>
      <c r="DB18" s="4">
        <f t="shared" si="12"/>
        <v>65236.960440804323</v>
      </c>
      <c r="DC18" s="4">
        <f t="shared" si="12"/>
        <v>65889.330045212366</v>
      </c>
      <c r="DD18" s="4">
        <f t="shared" si="12"/>
        <v>66548.22334566449</v>
      </c>
      <c r="DE18" s="4">
        <f t="shared" si="12"/>
        <v>67213.705579121131</v>
      </c>
      <c r="DF18" s="4">
        <f t="shared" si="12"/>
        <v>67885.842634912347</v>
      </c>
      <c r="DG18" s="4">
        <f t="shared" si="12"/>
        <v>68564.701061261469</v>
      </c>
      <c r="DH18" s="4">
        <f t="shared" si="12"/>
        <v>69250.34807187409</v>
      </c>
      <c r="DI18" s="4">
        <f t="shared" si="12"/>
        <v>69942.851552592838</v>
      </c>
      <c r="DJ18" s="4">
        <f t="shared" si="12"/>
        <v>70642.280068118765</v>
      </c>
    </row>
    <row r="19" spans="1:114" x14ac:dyDescent="0.2">
      <c r="B19" s="3" t="s">
        <v>26</v>
      </c>
      <c r="K19" s="8">
        <f>K18/K20</f>
        <v>0.88922248679987581</v>
      </c>
      <c r="L19" s="8">
        <f t="shared" ref="L19:P19" si="13">L18/L20</f>
        <v>0.92931485111696632</v>
      </c>
      <c r="M19" s="8">
        <f t="shared" si="13"/>
        <v>1.0571493231942268</v>
      </c>
      <c r="N19" s="8">
        <f t="shared" si="13"/>
        <v>1.1983286478072763</v>
      </c>
      <c r="O19" s="8">
        <f t="shared" si="13"/>
        <v>1.3540785924970231</v>
      </c>
      <c r="P19" s="8">
        <f t="shared" si="13"/>
        <v>1.5257294785676117</v>
      </c>
    </row>
    <row r="20" spans="1:114" x14ac:dyDescent="0.2">
      <c r="B20" s="3" t="s">
        <v>2</v>
      </c>
      <c r="K20" s="3">
        <v>19318</v>
      </c>
      <c r="L20" s="3">
        <f>K20*0.98</f>
        <v>18931.64</v>
      </c>
      <c r="M20" s="3">
        <f t="shared" ref="M20:P20" si="14">L20*0.98</f>
        <v>18553.0072</v>
      </c>
      <c r="N20" s="3">
        <f t="shared" si="14"/>
        <v>18181.947056000001</v>
      </c>
      <c r="O20" s="3">
        <f t="shared" si="14"/>
        <v>17818.308114880001</v>
      </c>
      <c r="P20" s="3">
        <f t="shared" si="14"/>
        <v>17461.941952582401</v>
      </c>
    </row>
    <row r="21" spans="1:114" x14ac:dyDescent="0.2">
      <c r="K21" s="3">
        <f>K20/8</f>
        <v>2414.75</v>
      </c>
      <c r="R21" s="3" t="s">
        <v>37</v>
      </c>
      <c r="S21" s="7">
        <v>0.04</v>
      </c>
    </row>
    <row r="22" spans="1:114" s="4" customFormat="1" ht="15" x14ac:dyDescent="0.25">
      <c r="A22" s="3"/>
      <c r="B22" s="4" t="s">
        <v>27</v>
      </c>
      <c r="K22" s="6" t="e">
        <f>K4/J4-1</f>
        <v>#DIV/0!</v>
      </c>
      <c r="L22" s="6">
        <f>L4/K4-1</f>
        <v>4.0000000000000036E-2</v>
      </c>
      <c r="M22" s="6">
        <f t="shared" ref="M22:P22" si="15">M4/L4-1</f>
        <v>4.0000000000000036E-2</v>
      </c>
      <c r="N22" s="6">
        <f t="shared" si="15"/>
        <v>4.0000000000000036E-2</v>
      </c>
      <c r="O22" s="6">
        <f t="shared" si="15"/>
        <v>4.0000000000000036E-2</v>
      </c>
      <c r="P22" s="6">
        <f t="shared" si="15"/>
        <v>4.0000000000000036E-2</v>
      </c>
      <c r="R22" s="3" t="s">
        <v>38</v>
      </c>
      <c r="S22" s="7">
        <v>0.01</v>
      </c>
    </row>
    <row r="23" spans="1:114" x14ac:dyDescent="0.2">
      <c r="B23" s="3" t="s">
        <v>28</v>
      </c>
      <c r="R23" s="3" t="s">
        <v>39</v>
      </c>
      <c r="S23" s="7">
        <v>7.4999999999999997E-2</v>
      </c>
    </row>
    <row r="24" spans="1:114" ht="15" x14ac:dyDescent="0.25">
      <c r="B24" s="3" t="s">
        <v>29</v>
      </c>
      <c r="K24" s="9">
        <f>K17/K16</f>
        <v>0.22137612183845526</v>
      </c>
      <c r="L24" s="9">
        <v>0.21</v>
      </c>
      <c r="M24" s="9">
        <v>0.21</v>
      </c>
      <c r="N24" s="9">
        <v>0.21</v>
      </c>
      <c r="O24" s="9">
        <v>0.21</v>
      </c>
      <c r="P24" s="9">
        <v>0.21</v>
      </c>
      <c r="R24" s="4" t="s">
        <v>40</v>
      </c>
      <c r="S24" s="10">
        <f>NPV(S23,L18:XFD18)+Main!D6-Main!D7</f>
        <v>375277.69579390174</v>
      </c>
    </row>
    <row r="25" spans="1:114" x14ac:dyDescent="0.2">
      <c r="R25" s="3" t="s">
        <v>1</v>
      </c>
      <c r="S25" s="8">
        <f>S24/Main!D4</f>
        <v>155.41057906363051</v>
      </c>
    </row>
    <row r="26" spans="1:114" s="4" customFormat="1" ht="15" x14ac:dyDescent="0.25">
      <c r="A26" s="3"/>
      <c r="B26" s="4" t="s">
        <v>30</v>
      </c>
      <c r="K26" s="6">
        <f>K6/K4</f>
        <v>0.39951930080116532</v>
      </c>
      <c r="L26" s="6">
        <f>K26*1.01</f>
        <v>0.40351449380917698</v>
      </c>
      <c r="M26" s="6">
        <f t="shared" ref="M26:P26" si="16">L26*1.01</f>
        <v>0.40754963874726874</v>
      </c>
      <c r="N26" s="6">
        <f t="shared" si="16"/>
        <v>0.41162513513474142</v>
      </c>
      <c r="O26" s="6">
        <f t="shared" si="16"/>
        <v>0.41574138648608883</v>
      </c>
      <c r="P26" s="6">
        <f t="shared" si="16"/>
        <v>0.41989880035094973</v>
      </c>
      <c r="R26" s="3" t="s">
        <v>41</v>
      </c>
      <c r="S26" s="9">
        <f>S25/Main!D3-1</f>
        <v>0.32829554755239743</v>
      </c>
    </row>
    <row r="27" spans="1:114" x14ac:dyDescent="0.2">
      <c r="B27" s="3" t="s">
        <v>31</v>
      </c>
      <c r="K27" s="9">
        <f>K13/K4</f>
        <v>0.146081573197378</v>
      </c>
      <c r="L27" s="9">
        <f t="shared" ref="L27:P27" si="17">L13/L4</f>
        <v>0.15261114348142757</v>
      </c>
      <c r="M27" s="9">
        <f t="shared" si="17"/>
        <v>0.15915532192279694</v>
      </c>
      <c r="N27" s="9">
        <f t="shared" si="17"/>
        <v>0.16571476147851419</v>
      </c>
      <c r="O27" s="9">
        <f t="shared" si="17"/>
        <v>0.1722901165664239</v>
      </c>
      <c r="P27" s="9">
        <f t="shared" si="17"/>
        <v>0.17888204313048145</v>
      </c>
    </row>
    <row r="28" spans="1:114" x14ac:dyDescent="0.2">
      <c r="B28" s="3" t="s">
        <v>32</v>
      </c>
      <c r="K28" s="9">
        <f>K12/K4</f>
        <v>0.2534377276037873</v>
      </c>
      <c r="L28" s="9">
        <f>K28*0.99</f>
        <v>0.25090335032774941</v>
      </c>
      <c r="M28" s="9">
        <f t="shared" ref="M28:P28" si="18">L28*0.99</f>
        <v>0.24839431682447191</v>
      </c>
      <c r="N28" s="9">
        <f t="shared" si="18"/>
        <v>0.2459103736562272</v>
      </c>
      <c r="O28" s="9">
        <f t="shared" si="18"/>
        <v>0.24345126991966493</v>
      </c>
      <c r="P28" s="9">
        <f t="shared" si="18"/>
        <v>0.24101675722046828</v>
      </c>
    </row>
    <row r="30" spans="1:114" x14ac:dyDescent="0.2">
      <c r="B30" s="3" t="s">
        <v>36</v>
      </c>
      <c r="K30" s="3">
        <f>K31-K32</f>
        <v>55.120000000000005</v>
      </c>
      <c r="L30" s="3">
        <f>K30+L18</f>
        <v>17648.574208000002</v>
      </c>
      <c r="M30" s="3">
        <f t="shared" ref="M30:P30" si="19">L30+M18</f>
        <v>37261.873212697617</v>
      </c>
      <c r="N30" s="3">
        <f t="shared" si="19"/>
        <v>59049.82124281759</v>
      </c>
      <c r="O30" s="3">
        <f t="shared" si="19"/>
        <v>83177.210815692582</v>
      </c>
      <c r="P30" s="3">
        <f t="shared" si="19"/>
        <v>109819.41040578403</v>
      </c>
    </row>
    <row r="31" spans="1:114" x14ac:dyDescent="0.2">
      <c r="B31" s="3" t="s">
        <v>4</v>
      </c>
      <c r="K31" s="3">
        <f>20.1+31.53+7.4+27.86+6.03</f>
        <v>92.92</v>
      </c>
    </row>
    <row r="32" spans="1:114" x14ac:dyDescent="0.2">
      <c r="B32" s="3" t="s">
        <v>5</v>
      </c>
      <c r="K32" s="3">
        <f>6.7+6.9+16.9+4.9+2.4</f>
        <v>37.799999999999997</v>
      </c>
    </row>
    <row r="34" spans="2:2" x14ac:dyDescent="0.2">
      <c r="B34" s="3" t="s">
        <v>33</v>
      </c>
    </row>
    <row r="35" spans="2:2" x14ac:dyDescent="0.2">
      <c r="B35" s="3" t="s">
        <v>34</v>
      </c>
    </row>
    <row r="36" spans="2:2" x14ac:dyDescent="0.2">
      <c r="B36" s="3" t="s">
        <v>35</v>
      </c>
    </row>
  </sheetData>
  <hyperlinks>
    <hyperlink ref="A1" location="Main!A1" display="Main" xr:uid="{0A8A7B1D-A45F-4488-AE9E-A800C3D6364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2025-05-24T00:44:03Z</dcterms:created>
  <dcterms:modified xsi:type="dcterms:W3CDTF">2025-05-29T22:32:04Z</dcterms:modified>
</cp:coreProperties>
</file>