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B495F64-633C-4CD3-BB4B-B472E045B296}" xr6:coauthVersionLast="47" xr6:coauthVersionMax="47" xr10:uidLastSave="{00000000-0000-0000-0000-000000000000}"/>
  <bookViews>
    <workbookView xWindow="6045" yWindow="780" windowWidth="17745" windowHeight="14640" activeTab="1" xr2:uid="{84B91150-D63F-434F-B036-DDB9093FBDB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2" l="1"/>
  <c r="S11" i="2"/>
  <c r="T11" i="2" s="1"/>
  <c r="Q11" i="2"/>
  <c r="P10" i="2"/>
  <c r="P11" i="2"/>
  <c r="P12" i="2"/>
  <c r="Q10" i="2"/>
  <c r="R10" i="2" s="1"/>
  <c r="S10" i="2" s="1"/>
  <c r="N5" i="2"/>
  <c r="O5" i="2"/>
  <c r="P31" i="2"/>
  <c r="Q31" i="2"/>
  <c r="R31" i="2"/>
  <c r="S31" i="2"/>
  <c r="T31" i="2"/>
  <c r="O31" i="2"/>
  <c r="N8" i="2"/>
  <c r="O8" i="2"/>
  <c r="O4" i="2"/>
  <c r="N4" i="2"/>
  <c r="Q12" i="2" l="1"/>
  <c r="T10" i="2"/>
  <c r="P49" i="2"/>
  <c r="Q49" i="2" s="1"/>
  <c r="R49" i="2" s="1"/>
  <c r="S49" i="2" s="1"/>
  <c r="T49" i="2" s="1"/>
  <c r="N58" i="2"/>
  <c r="N60" i="2" s="1"/>
  <c r="O58" i="2"/>
  <c r="O60" i="2" s="1"/>
  <c r="M58" i="2"/>
  <c r="M60" i="2" s="1"/>
  <c r="O41" i="2"/>
  <c r="O39" i="2" s="1"/>
  <c r="P21" i="2" s="1"/>
  <c r="O30" i="2"/>
  <c r="N30" i="2"/>
  <c r="O29" i="2"/>
  <c r="N29" i="2"/>
  <c r="N19" i="2"/>
  <c r="N37" i="2" s="1"/>
  <c r="O19" i="2"/>
  <c r="M19" i="2"/>
  <c r="M37" i="2" s="1"/>
  <c r="N16" i="2"/>
  <c r="N36" i="2" s="1"/>
  <c r="O16" i="2"/>
  <c r="M16" i="2"/>
  <c r="M36" i="2" s="1"/>
  <c r="N15" i="2"/>
  <c r="N35" i="2" s="1"/>
  <c r="O15" i="2"/>
  <c r="O35" i="2" s="1"/>
  <c r="M15" i="2"/>
  <c r="N12" i="2"/>
  <c r="O12" i="2"/>
  <c r="M12" i="2"/>
  <c r="K1" i="2"/>
  <c r="L1" i="2" s="1"/>
  <c r="M1" i="2" s="1"/>
  <c r="N1" i="2" s="1"/>
  <c r="O1" i="2" s="1"/>
  <c r="P1" i="2" s="1"/>
  <c r="Q1" i="2" s="1"/>
  <c r="R1" i="2" s="1"/>
  <c r="S1" i="2" s="1"/>
  <c r="T1" i="2" s="1"/>
  <c r="C7" i="1"/>
  <c r="C6" i="1"/>
  <c r="C4" i="1"/>
  <c r="R12" i="2" l="1"/>
  <c r="O37" i="2"/>
  <c r="Q13" i="2"/>
  <c r="Q15" i="2" s="1"/>
  <c r="N28" i="2"/>
  <c r="P30" i="2"/>
  <c r="Q29" i="2"/>
  <c r="O28" i="2"/>
  <c r="P29" i="2"/>
  <c r="P13" i="2"/>
  <c r="P15" i="2" s="1"/>
  <c r="M34" i="2"/>
  <c r="M35" i="2"/>
  <c r="M20" i="2"/>
  <c r="M22" i="2" s="1"/>
  <c r="O34" i="2"/>
  <c r="O20" i="2"/>
  <c r="O22" i="2" s="1"/>
  <c r="O36" i="2"/>
  <c r="N20" i="2"/>
  <c r="N22" i="2" s="1"/>
  <c r="N34" i="2"/>
  <c r="T12" i="2" l="1"/>
  <c r="S12" i="2"/>
  <c r="Q28" i="2"/>
  <c r="Q19" i="2"/>
  <c r="P28" i="2"/>
  <c r="P19" i="2"/>
  <c r="Q30" i="2"/>
  <c r="N24" i="2"/>
  <c r="N46" i="2" s="1"/>
  <c r="N32" i="2"/>
  <c r="O24" i="2"/>
  <c r="O46" i="2" s="1"/>
  <c r="O32" i="2"/>
  <c r="M24" i="2"/>
  <c r="M46" i="2" s="1"/>
  <c r="M32" i="2"/>
  <c r="P14" i="2"/>
  <c r="P16" i="2" s="1"/>
  <c r="R29" i="2"/>
  <c r="R13" i="2"/>
  <c r="R15" i="2" s="1"/>
  <c r="T13" i="2" l="1"/>
  <c r="T15" i="2" s="1"/>
  <c r="T29" i="2"/>
  <c r="P48" i="2"/>
  <c r="Q48" i="2" s="1"/>
  <c r="P59" i="2"/>
  <c r="Q59" i="2" s="1"/>
  <c r="R30" i="2"/>
  <c r="S29" i="2"/>
  <c r="S13" i="2"/>
  <c r="Q14" i="2"/>
  <c r="Q16" i="2" s="1"/>
  <c r="P34" i="2"/>
  <c r="P20" i="2"/>
  <c r="P22" i="2" s="1"/>
  <c r="P23" i="2" s="1"/>
  <c r="P24" i="2" s="1"/>
  <c r="S15" i="2"/>
  <c r="P46" i="2" l="1"/>
  <c r="P58" i="2" s="1"/>
  <c r="P60" i="2" s="1"/>
  <c r="P25" i="2"/>
  <c r="S30" i="2"/>
  <c r="R28" i="2"/>
  <c r="R59" i="2" s="1"/>
  <c r="R19" i="2"/>
  <c r="S28" i="2"/>
  <c r="S19" i="2"/>
  <c r="P39" i="2"/>
  <c r="Q21" i="2" s="1"/>
  <c r="Q20" i="2"/>
  <c r="Q34" i="2"/>
  <c r="R14" i="2"/>
  <c r="R16" i="2" s="1"/>
  <c r="R48" i="2" l="1"/>
  <c r="S14" i="2"/>
  <c r="S16" i="2" s="1"/>
  <c r="T14" i="2"/>
  <c r="T16" i="2" s="1"/>
  <c r="T30" i="2"/>
  <c r="S59" i="2"/>
  <c r="S48" i="2"/>
  <c r="Q22" i="2"/>
  <c r="Q23" i="2" s="1"/>
  <c r="Q24" i="2" s="1"/>
  <c r="Q39" i="2" s="1"/>
  <c r="R21" i="2" s="1"/>
  <c r="R20" i="2"/>
  <c r="R34" i="2"/>
  <c r="S20" i="2"/>
  <c r="S34" i="2"/>
  <c r="T28" i="2" l="1"/>
  <c r="T59" i="2" s="1"/>
  <c r="T19" i="2"/>
  <c r="T34" i="2"/>
  <c r="T20" i="2"/>
  <c r="Q25" i="2"/>
  <c r="Q46" i="2"/>
  <c r="Q58" i="2" s="1"/>
  <c r="Q60" i="2" s="1"/>
  <c r="R22" i="2"/>
  <c r="R23" i="2" s="1"/>
  <c r="R24" i="2" s="1"/>
  <c r="R46" i="2" s="1"/>
  <c r="R58" i="2" s="1"/>
  <c r="R60" i="2" s="1"/>
  <c r="T48" i="2" l="1"/>
  <c r="R39" i="2"/>
  <c r="S21" i="2" s="1"/>
  <c r="R25" i="2"/>
  <c r="S22" i="2" l="1"/>
  <c r="S23" i="2" s="1"/>
  <c r="S24" i="2" s="1"/>
  <c r="S46" i="2" s="1"/>
  <c r="S58" i="2" s="1"/>
  <c r="S60" i="2" s="1"/>
  <c r="S25" i="2" l="1"/>
  <c r="S39" i="2"/>
  <c r="T21" i="2" s="1"/>
  <c r="T22" i="2" l="1"/>
  <c r="T23" i="2" s="1"/>
  <c r="T24" i="2" s="1"/>
  <c r="U24" i="2" l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T46" i="2"/>
  <c r="T58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CO60" i="2" s="1"/>
  <c r="CP60" i="2" s="1"/>
  <c r="CQ60" i="2" s="1"/>
  <c r="CR60" i="2" s="1"/>
  <c r="CS60" i="2" s="1"/>
  <c r="CT60" i="2" s="1"/>
  <c r="CU60" i="2" s="1"/>
  <c r="CV60" i="2" s="1"/>
  <c r="CW60" i="2" s="1"/>
  <c r="CX60" i="2" s="1"/>
  <c r="CY60" i="2" s="1"/>
  <c r="CZ60" i="2" s="1"/>
  <c r="DA60" i="2" s="1"/>
  <c r="DB60" i="2" s="1"/>
  <c r="DC60" i="2" s="1"/>
  <c r="DD60" i="2" s="1"/>
  <c r="DE60" i="2" s="1"/>
  <c r="DF60" i="2" s="1"/>
  <c r="DG60" i="2" s="1"/>
  <c r="DH60" i="2" s="1"/>
  <c r="DI60" i="2" s="1"/>
  <c r="DJ60" i="2" s="1"/>
  <c r="DK60" i="2" s="1"/>
  <c r="DL60" i="2" s="1"/>
  <c r="W53" i="2" s="1"/>
  <c r="T25" i="2"/>
  <c r="T39" i="2"/>
  <c r="W54" i="2" l="1"/>
  <c r="W55" i="2" s="1"/>
</calcChain>
</file>

<file path=xl/sharedStrings.xml><?xml version="1.0" encoding="utf-8"?>
<sst xmlns="http://schemas.openxmlformats.org/spreadsheetml/2006/main" count="77" uniqueCount="69">
  <si>
    <t>DELL</t>
  </si>
  <si>
    <t>Price</t>
  </si>
  <si>
    <t>Shares</t>
  </si>
  <si>
    <t>MC</t>
  </si>
  <si>
    <t>Cash</t>
  </si>
  <si>
    <t>Debt</t>
  </si>
  <si>
    <t>EV</t>
  </si>
  <si>
    <t>Q425</t>
  </si>
  <si>
    <t>Main</t>
  </si>
  <si>
    <t>Revenue</t>
  </si>
  <si>
    <t>Q125</t>
  </si>
  <si>
    <t>Q225</t>
  </si>
  <si>
    <t>Q325</t>
  </si>
  <si>
    <t>Q126</t>
  </si>
  <si>
    <t>Q226</t>
  </si>
  <si>
    <t>Products</t>
  </si>
  <si>
    <t>Services</t>
  </si>
  <si>
    <t>Products COGS</t>
  </si>
  <si>
    <t>Services COGS</t>
  </si>
  <si>
    <t>Products GP</t>
  </si>
  <si>
    <t>Services GP</t>
  </si>
  <si>
    <t>Operating Income</t>
  </si>
  <si>
    <t>SG&amp;A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</si>
  <si>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</si>
  <si>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</si>
  <si>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</si>
  <si>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</si>
  <si>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</si>
  <si>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</si>
  <si>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</si>
  <si>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</si>
  <si>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Tax Rate</t>
  </si>
  <si>
    <t>Products GM</t>
  </si>
  <si>
    <t>Services GM</t>
  </si>
  <si>
    <t>Model NI</t>
  </si>
  <si>
    <t>Reported NI</t>
  </si>
  <si>
    <t>Net Cash</t>
  </si>
  <si>
    <t>ST Investments</t>
  </si>
  <si>
    <t xml:space="preserve"> </t>
  </si>
  <si>
    <t>Gross Margin</t>
  </si>
  <si>
    <t>Products y/y</t>
  </si>
  <si>
    <t>Services y/y</t>
  </si>
  <si>
    <t>ROIC</t>
  </si>
  <si>
    <t>Maturity</t>
  </si>
  <si>
    <t>Discount</t>
  </si>
  <si>
    <t>NPV</t>
  </si>
  <si>
    <t>Diff</t>
  </si>
  <si>
    <t>OPEX Margin</t>
  </si>
  <si>
    <t>D&amp;A</t>
  </si>
  <si>
    <t>SB Comp</t>
  </si>
  <si>
    <t>DIT</t>
  </si>
  <si>
    <t>Other</t>
  </si>
  <si>
    <t>AR</t>
  </si>
  <si>
    <t>Finance Receivables</t>
  </si>
  <si>
    <t>Inventories</t>
  </si>
  <si>
    <t>Other A&amp;L</t>
  </si>
  <si>
    <t>AP</t>
  </si>
  <si>
    <t>DR</t>
  </si>
  <si>
    <t>CFFO</t>
  </si>
  <si>
    <t>CAPEX</t>
  </si>
  <si>
    <t>FCF</t>
  </si>
  <si>
    <t>ISG Rev</t>
  </si>
  <si>
    <t>Storage</t>
  </si>
  <si>
    <t>Servers &amp; Networking</t>
  </si>
  <si>
    <t>Commercial</t>
  </si>
  <si>
    <t>Consumer</t>
  </si>
  <si>
    <t>CSG Rev</t>
  </si>
  <si>
    <t>Servers y/y</t>
  </si>
  <si>
    <t>ISG 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</si>
</sst>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47625</xdr:rowOff>
    </xdr:from>
    <xdr:to>
      <xdr:col>15</xdr:col>
      <xdr:colOff>9525</xdr:colOff>
      <xdr:row>82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45D366-1002-3028-7112-AB139095438B}"/>
            </a:ext>
          </a:extLst>
        </xdr:cNvPr>
        <xdr:cNvCxnSpPr/>
      </xdr:nvCxnSpPr>
      <xdr:spPr>
        <a:xfrm>
          <a:off x="10591800" y="47625"/>
          <a:ext cx="9525" cy="1268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0</xdr:row>
      <xdr:rowOff>19050</xdr:rowOff>
    </xdr:from>
    <xdr:to>
      <xdr:col>6</xdr:col>
      <xdr:colOff>28575</xdr:colOff>
      <xdr:row>82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22F40B2-00C5-4C65-86FA-04B02BF5E378}"/>
            </a:ext>
          </a:extLst>
        </xdr:cNvPr>
        <xdr:cNvCxnSpPr/>
      </xdr:nvCxnSpPr>
      <xdr:spPr>
        <a:xfrm>
          <a:off x="4438650" y="19050"/>
          <a:ext cx="9525" cy="1268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79DF-B8F5-42A4-8D3B-3D8DFA19C319}">
  <dimension ref="A1:D7"/>
  <sheetViews>
    <sheetView zoomScale="265" zoomScaleNormal="265" workbookViewId="0">
      <selection activeCell="C2" sqref="C2"/>
    </sheetView>
  </sheetViews>
  <sheetFormatPr defaultRowHeight="14.25" x14ac:dyDescent="0.2"/>
  <sheetData>
    <row r="1" spans="1:4" ht="15" x14ac:dyDescent="0.25">
      <c r="A1" s="1" t="s">
        <v>0</v>
      </c>
    </row>
    <row r="2" spans="1:4" x14ac:dyDescent="0.2">
      <c r="B2" t="s">
        <v>1</v>
      </c>
      <c r="C2" s="7">
        <v>111</v>
      </c>
    </row>
    <row r="3" spans="1:4" x14ac:dyDescent="0.2">
      <c r="B3" t="s">
        <v>2</v>
      </c>
      <c r="C3" s="2">
        <v>697.84079999999994</v>
      </c>
      <c r="D3" t="s">
        <v>7</v>
      </c>
    </row>
    <row r="4" spans="1:4" x14ac:dyDescent="0.2">
      <c r="B4" t="s">
        <v>3</v>
      </c>
      <c r="C4" s="2">
        <f>C2*C3</f>
        <v>77460.328799999988</v>
      </c>
    </row>
    <row r="5" spans="1:4" x14ac:dyDescent="0.2">
      <c r="B5" t="s">
        <v>4</v>
      </c>
      <c r="C5" s="2">
        <v>3633</v>
      </c>
      <c r="D5" t="s">
        <v>7</v>
      </c>
    </row>
    <row r="6" spans="1:4" x14ac:dyDescent="0.2">
      <c r="B6" t="s">
        <v>5</v>
      </c>
      <c r="C6" s="2">
        <f>19363+12292+2951</f>
        <v>34606</v>
      </c>
      <c r="D6" t="s">
        <v>7</v>
      </c>
    </row>
    <row r="7" spans="1:4" x14ac:dyDescent="0.2">
      <c r="B7" t="s">
        <v>6</v>
      </c>
      <c r="C7" s="2">
        <f>C4+C6-C5</f>
        <v>108433.32879999999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7BDA-91B0-4CCE-9648-B41E0208AF0D}">
  <dimension ref="A1:DN60"/>
  <sheetViews>
    <sheetView tabSelected="1" workbookViewId="0">
      <pane xSplit="2" ySplit="1" topLeftCell="M31" activePane="bottomRight" state="frozen"/>
      <selection pane="topRight" activeCell="C1" sqref="C1"/>
      <selection pane="bottomLeft" activeCell="A2" sqref="A2"/>
      <selection pane="bottomRight" activeCell="W52" sqref="W52"/>
    </sheetView>
  </sheetViews>
  <sheetFormatPr defaultRowHeight="14.25" x14ac:dyDescent="0.2"/>
  <cols>
    <col min="1" max="1" width="4.625" style="2" customWidth="1"/>
    <col min="2" max="2" width="20.25" style="2" customWidth="1"/>
    <col min="3" max="16384" width="9" style="2"/>
  </cols>
  <sheetData>
    <row r="1" spans="1:20" x14ac:dyDescent="0.2">
      <c r="A1" s="3" t="s">
        <v>8</v>
      </c>
      <c r="C1" s="2" t="s">
        <v>10</v>
      </c>
      <c r="D1" s="2" t="s">
        <v>11</v>
      </c>
      <c r="E1" s="2" t="s">
        <v>12</v>
      </c>
      <c r="F1" s="2" t="s">
        <v>7</v>
      </c>
      <c r="G1" s="2" t="s">
        <v>13</v>
      </c>
      <c r="H1" s="2" t="s">
        <v>14</v>
      </c>
      <c r="J1" s="5">
        <v>2020</v>
      </c>
      <c r="K1" s="5">
        <f>J1+1</f>
        <v>2021</v>
      </c>
      <c r="L1" s="5">
        <f t="shared" ref="L1:T1" si="0">K1+1</f>
        <v>2022</v>
      </c>
      <c r="M1" s="5">
        <f t="shared" si="0"/>
        <v>2023</v>
      </c>
      <c r="N1" s="5">
        <f t="shared" si="0"/>
        <v>2024</v>
      </c>
      <c r="O1" s="5">
        <f t="shared" si="0"/>
        <v>2025</v>
      </c>
      <c r="P1" s="5">
        <f t="shared" si="0"/>
        <v>2026</v>
      </c>
      <c r="Q1" s="5">
        <f t="shared" si="0"/>
        <v>2027</v>
      </c>
      <c r="R1" s="5">
        <f t="shared" si="0"/>
        <v>2028</v>
      </c>
      <c r="S1" s="5">
        <f t="shared" si="0"/>
        <v>2029</v>
      </c>
      <c r="T1" s="5">
        <f t="shared" si="0"/>
        <v>2030</v>
      </c>
    </row>
    <row r="2" spans="1:20" s="4" customFormat="1" ht="15" x14ac:dyDescent="0.25">
      <c r="A2" s="3"/>
      <c r="B2" s="4" t="s">
        <v>63</v>
      </c>
      <c r="J2" s="11"/>
      <c r="K2" s="11"/>
      <c r="L2" s="11"/>
      <c r="N2" s="4">
        <v>17624</v>
      </c>
      <c r="O2" s="4">
        <v>27136</v>
      </c>
    </row>
    <row r="3" spans="1:20" x14ac:dyDescent="0.2">
      <c r="A3" s="3"/>
      <c r="B3" s="2" t="s">
        <v>62</v>
      </c>
      <c r="J3" s="5"/>
      <c r="K3" s="5"/>
      <c r="L3" s="5"/>
      <c r="N3" s="2">
        <v>16261</v>
      </c>
      <c r="O3" s="2">
        <v>16457</v>
      </c>
    </row>
    <row r="4" spans="1:20" x14ac:dyDescent="0.2">
      <c r="A4" s="3"/>
      <c r="B4" s="2" t="s">
        <v>61</v>
      </c>
      <c r="J4" s="5"/>
      <c r="K4" s="5"/>
      <c r="L4" s="5"/>
      <c r="N4" s="2">
        <f>SUM(N2:N3)</f>
        <v>33885</v>
      </c>
      <c r="O4" s="2">
        <f>SUM(O2:O3)</f>
        <v>43593</v>
      </c>
    </row>
    <row r="5" spans="1:20" s="4" customFormat="1" ht="15" x14ac:dyDescent="0.25">
      <c r="A5" s="3"/>
      <c r="B5" s="4" t="s">
        <v>68</v>
      </c>
      <c r="J5" s="11"/>
      <c r="K5" s="11"/>
      <c r="L5" s="11"/>
      <c r="N5" s="12">
        <f>4286/N4</f>
        <v>0.12648664600855836</v>
      </c>
      <c r="O5" s="12">
        <f>5579/O4</f>
        <v>0.12797926272566695</v>
      </c>
    </row>
    <row r="6" spans="1:20" x14ac:dyDescent="0.2">
      <c r="A6" s="3"/>
      <c r="B6" s="2" t="s">
        <v>64</v>
      </c>
      <c r="J6" s="5"/>
      <c r="K6" s="5"/>
      <c r="L6" s="5"/>
      <c r="N6" s="2">
        <v>39814</v>
      </c>
      <c r="O6" s="2">
        <v>40844</v>
      </c>
    </row>
    <row r="7" spans="1:20" x14ac:dyDescent="0.2">
      <c r="A7" s="3"/>
      <c r="B7" s="2" t="s">
        <v>65</v>
      </c>
      <c r="J7" s="5"/>
      <c r="K7" s="5"/>
      <c r="L7" s="5"/>
      <c r="N7" s="2">
        <v>9102</v>
      </c>
      <c r="O7" s="2">
        <v>7549</v>
      </c>
    </row>
    <row r="8" spans="1:20" x14ac:dyDescent="0.2">
      <c r="A8" s="3"/>
      <c r="B8" s="2" t="s">
        <v>66</v>
      </c>
      <c r="J8" s="5"/>
      <c r="K8" s="5"/>
      <c r="L8" s="5"/>
      <c r="N8" s="2">
        <f>SUM(N6:N7)</f>
        <v>48916</v>
      </c>
      <c r="O8" s="2">
        <f>SUM(O6:O7)</f>
        <v>48393</v>
      </c>
    </row>
    <row r="9" spans="1:20" x14ac:dyDescent="0.2">
      <c r="A9" s="3"/>
      <c r="J9" s="5"/>
      <c r="K9" s="5"/>
      <c r="L9" s="5"/>
    </row>
    <row r="10" spans="1:20" x14ac:dyDescent="0.2">
      <c r="B10" s="2" t="s">
        <v>15</v>
      </c>
      <c r="M10" s="2">
        <v>79250</v>
      </c>
      <c r="N10" s="2">
        <v>64353</v>
      </c>
      <c r="O10" s="2">
        <v>71420</v>
      </c>
      <c r="P10" s="2">
        <f>O10*1.05</f>
        <v>74991</v>
      </c>
      <c r="Q10" s="2">
        <f t="shared" ref="Q10:T10" si="1">P10*1.02</f>
        <v>76490.820000000007</v>
      </c>
      <c r="R10" s="2">
        <f t="shared" si="1"/>
        <v>78020.636400000003</v>
      </c>
      <c r="S10" s="2">
        <f t="shared" si="1"/>
        <v>79581.049127999999</v>
      </c>
      <c r="T10" s="2">
        <f t="shared" si="1"/>
        <v>81172.670110559993</v>
      </c>
    </row>
    <row r="11" spans="1:20" x14ac:dyDescent="0.2">
      <c r="B11" s="2" t="s">
        <v>16</v>
      </c>
      <c r="M11" s="2">
        <v>23051</v>
      </c>
      <c r="N11" s="2">
        <v>24072</v>
      </c>
      <c r="O11" s="2">
        <v>24147</v>
      </c>
      <c r="P11" s="2">
        <f>O11*1.15</f>
        <v>27769.05</v>
      </c>
      <c r="Q11" s="2">
        <f>P11*1.04</f>
        <v>28879.812000000002</v>
      </c>
      <c r="R11" s="2">
        <f t="shared" ref="R11:T11" si="2">Q11*1.04</f>
        <v>30035.004480000003</v>
      </c>
      <c r="S11" s="2">
        <f t="shared" si="2"/>
        <v>31236.404659200005</v>
      </c>
      <c r="T11" s="2">
        <f t="shared" si="2"/>
        <v>32485.860845568008</v>
      </c>
    </row>
    <row r="12" spans="1:20" s="4" customFormat="1" ht="15" x14ac:dyDescent="0.25">
      <c r="A12" s="2"/>
      <c r="B12" s="4" t="s">
        <v>9</v>
      </c>
      <c r="M12" s="4">
        <f>SUM(M10:M11)</f>
        <v>102301</v>
      </c>
      <c r="N12" s="4">
        <f t="shared" ref="N12:O12" si="3">SUM(N10:N11)</f>
        <v>88425</v>
      </c>
      <c r="O12" s="4">
        <f t="shared" si="3"/>
        <v>95567</v>
      </c>
      <c r="P12" s="4">
        <f t="shared" ref="P12:Q12" si="4">SUM(P10:P11)</f>
        <v>102760.05</v>
      </c>
      <c r="Q12" s="4">
        <f t="shared" si="4"/>
        <v>105370.63200000001</v>
      </c>
      <c r="R12" s="4">
        <f t="shared" ref="R12" si="5">SUM(R10:R11)</f>
        <v>108055.64088000001</v>
      </c>
      <c r="S12" s="4">
        <f t="shared" ref="S12:T12" si="6">SUM(S10:S11)</f>
        <v>110817.45378720001</v>
      </c>
      <c r="T12" s="4">
        <f t="shared" si="6"/>
        <v>113658.530956128</v>
      </c>
    </row>
    <row r="13" spans="1:20" x14ac:dyDescent="0.2">
      <c r="B13" s="2" t="s">
        <v>17</v>
      </c>
      <c r="M13" s="2">
        <v>66029</v>
      </c>
      <c r="N13" s="2">
        <v>53116</v>
      </c>
      <c r="O13" s="2">
        <v>60162</v>
      </c>
      <c r="P13" s="2">
        <f t="shared" ref="P13:T14" si="7">P10*(1-P35)</f>
        <v>62242.53</v>
      </c>
      <c r="Q13" s="2">
        <f t="shared" si="7"/>
        <v>63487.380600000004</v>
      </c>
      <c r="R13" s="2">
        <f t="shared" si="7"/>
        <v>64757.128211999996</v>
      </c>
      <c r="S13" s="2">
        <f t="shared" si="7"/>
        <v>66052.270776239995</v>
      </c>
      <c r="T13" s="2">
        <f t="shared" si="7"/>
        <v>67373.316191764796</v>
      </c>
    </row>
    <row r="14" spans="1:20" x14ac:dyDescent="0.2">
      <c r="B14" s="2" t="s">
        <v>18</v>
      </c>
      <c r="M14" s="2">
        <v>13586</v>
      </c>
      <c r="N14" s="2">
        <v>14240</v>
      </c>
      <c r="O14" s="2">
        <v>14155</v>
      </c>
      <c r="P14" s="2">
        <f t="shared" si="7"/>
        <v>13884.525</v>
      </c>
      <c r="Q14" s="2">
        <f t="shared" si="7"/>
        <v>14439.906000000001</v>
      </c>
      <c r="R14" s="2">
        <f t="shared" si="7"/>
        <v>15017.502240000002</v>
      </c>
      <c r="S14" s="2">
        <f t="shared" si="7"/>
        <v>15618.202329600002</v>
      </c>
      <c r="T14" s="2">
        <f t="shared" si="7"/>
        <v>16242.930422784004</v>
      </c>
    </row>
    <row r="15" spans="1:20" x14ac:dyDescent="0.2">
      <c r="B15" s="2" t="s">
        <v>19</v>
      </c>
      <c r="M15" s="2">
        <f>M10-M13</f>
        <v>13221</v>
      </c>
      <c r="N15" s="2">
        <f t="shared" ref="N15:O15" si="8">N10-N13</f>
        <v>11237</v>
      </c>
      <c r="O15" s="2">
        <f t="shared" si="8"/>
        <v>11258</v>
      </c>
      <c r="P15" s="2">
        <f t="shared" ref="P15:S15" si="9">P10-P13</f>
        <v>12748.470000000001</v>
      </c>
      <c r="Q15" s="2">
        <f t="shared" si="9"/>
        <v>13003.439400000003</v>
      </c>
      <c r="R15" s="2">
        <f t="shared" si="9"/>
        <v>13263.508188000007</v>
      </c>
      <c r="S15" s="2">
        <f t="shared" si="9"/>
        <v>13528.778351760004</v>
      </c>
      <c r="T15" s="2">
        <f t="shared" ref="T15" si="10">T10-T13</f>
        <v>13799.353918795197</v>
      </c>
    </row>
    <row r="16" spans="1:20" x14ac:dyDescent="0.2">
      <c r="B16" s="2" t="s">
        <v>20</v>
      </c>
      <c r="M16" s="2">
        <f>M11-M14</f>
        <v>9465</v>
      </c>
      <c r="N16" s="2">
        <f t="shared" ref="N16:O16" si="11">N11-N14</f>
        <v>9832</v>
      </c>
      <c r="O16" s="2">
        <f t="shared" si="11"/>
        <v>9992</v>
      </c>
      <c r="P16" s="2">
        <f t="shared" ref="P16:S16" si="12">P11-P14</f>
        <v>13884.525</v>
      </c>
      <c r="Q16" s="2">
        <f t="shared" si="12"/>
        <v>14439.906000000001</v>
      </c>
      <c r="R16" s="2">
        <f t="shared" si="12"/>
        <v>15017.502240000002</v>
      </c>
      <c r="S16" s="2">
        <f t="shared" si="12"/>
        <v>15618.202329600002</v>
      </c>
      <c r="T16" s="2">
        <f t="shared" ref="T16" si="13">T11-T14</f>
        <v>16242.930422784004</v>
      </c>
    </row>
    <row r="17" spans="1:118" x14ac:dyDescent="0.2">
      <c r="B17" s="2" t="s">
        <v>22</v>
      </c>
      <c r="M17" s="2">
        <v>14136</v>
      </c>
      <c r="N17" s="2">
        <v>12857</v>
      </c>
      <c r="O17" s="2">
        <v>11952</v>
      </c>
    </row>
    <row r="18" spans="1:118" x14ac:dyDescent="0.2">
      <c r="B18" s="2" t="s">
        <v>23</v>
      </c>
      <c r="M18" s="2">
        <v>2779</v>
      </c>
      <c r="N18" s="2">
        <v>2801</v>
      </c>
      <c r="O18" s="2">
        <v>3061</v>
      </c>
    </row>
    <row r="19" spans="1:118" x14ac:dyDescent="0.2">
      <c r="B19" s="2" t="s">
        <v>24</v>
      </c>
      <c r="M19" s="2">
        <f>SUM(M17:M18)</f>
        <v>16915</v>
      </c>
      <c r="N19" s="2">
        <f t="shared" ref="N19:O19" si="14">SUM(N17:N18)</f>
        <v>15658</v>
      </c>
      <c r="O19" s="2">
        <f t="shared" si="14"/>
        <v>15013</v>
      </c>
      <c r="P19" s="2">
        <f>P12*P37</f>
        <v>17469.208500000001</v>
      </c>
      <c r="Q19" s="2">
        <f t="shared" ref="Q19:S19" si="15">Q12*Q37</f>
        <v>17913.007440000005</v>
      </c>
      <c r="R19" s="2">
        <f t="shared" si="15"/>
        <v>18369.458949600001</v>
      </c>
      <c r="S19" s="2">
        <f t="shared" si="15"/>
        <v>18838.967143824004</v>
      </c>
      <c r="T19" s="2">
        <f t="shared" ref="T19" si="16">T12*T37</f>
        <v>19321.950262541763</v>
      </c>
    </row>
    <row r="20" spans="1:118" x14ac:dyDescent="0.2">
      <c r="B20" s="2" t="s">
        <v>21</v>
      </c>
      <c r="M20" s="2">
        <f>SUM(M15:M16)-M19</f>
        <v>5771</v>
      </c>
      <c r="N20" s="2">
        <f t="shared" ref="N20:T20" si="17">SUM(N15:N16)-N19</f>
        <v>5411</v>
      </c>
      <c r="O20" s="2">
        <f t="shared" si="17"/>
        <v>6237</v>
      </c>
      <c r="P20" s="2">
        <f t="shared" si="17"/>
        <v>9163.786500000002</v>
      </c>
      <c r="Q20" s="2">
        <f t="shared" si="17"/>
        <v>9530.3379600000007</v>
      </c>
      <c r="R20" s="2">
        <f t="shared" si="17"/>
        <v>9911.5514784000079</v>
      </c>
      <c r="S20" s="2">
        <f t="shared" si="17"/>
        <v>10308.013537536004</v>
      </c>
      <c r="T20" s="2">
        <f t="shared" si="17"/>
        <v>10720.334079037439</v>
      </c>
    </row>
    <row r="21" spans="1:118" x14ac:dyDescent="0.2">
      <c r="B21" s="2" t="s">
        <v>25</v>
      </c>
      <c r="M21" s="2">
        <v>-2546</v>
      </c>
      <c r="N21" s="2">
        <v>-1324</v>
      </c>
      <c r="O21" s="2">
        <v>-1189</v>
      </c>
      <c r="P21" s="2">
        <f>O39*$W$50</f>
        <v>-1238.92</v>
      </c>
      <c r="Q21" s="2">
        <f>P39*$W$50</f>
        <v>-982.15432539999995</v>
      </c>
      <c r="R21" s="2">
        <f>Q39*$W$50</f>
        <v>-705.19317563895993</v>
      </c>
      <c r="S21" s="2">
        <f>R39*$W$50</f>
        <v>-406.90716662950206</v>
      </c>
      <c r="T21" s="2">
        <f>S39*$W$50</f>
        <v>-86.111320212131361</v>
      </c>
    </row>
    <row r="22" spans="1:118" x14ac:dyDescent="0.2">
      <c r="B22" s="2" t="s">
        <v>26</v>
      </c>
      <c r="M22" s="2">
        <f>M20+M21</f>
        <v>3225</v>
      </c>
      <c r="N22" s="2">
        <f t="shared" ref="N22:T22" si="18">N20+N21</f>
        <v>4087</v>
      </c>
      <c r="O22" s="2">
        <f t="shared" si="18"/>
        <v>5048</v>
      </c>
      <c r="P22" s="2">
        <f t="shared" si="18"/>
        <v>7924.8665000000019</v>
      </c>
      <c r="Q22" s="2">
        <f t="shared" si="18"/>
        <v>8548.1836346</v>
      </c>
      <c r="R22" s="2">
        <f t="shared" si="18"/>
        <v>9206.3583027610475</v>
      </c>
      <c r="S22" s="2">
        <f t="shared" si="18"/>
        <v>9901.106370906502</v>
      </c>
      <c r="T22" s="2">
        <f t="shared" si="18"/>
        <v>10634.222758825308</v>
      </c>
    </row>
    <row r="23" spans="1:118" x14ac:dyDescent="0.2">
      <c r="B23" s="2" t="s">
        <v>27</v>
      </c>
      <c r="M23" s="2">
        <v>803</v>
      </c>
      <c r="N23" s="2">
        <v>715</v>
      </c>
      <c r="O23" s="2">
        <v>472</v>
      </c>
      <c r="P23" s="2">
        <f>P22*P32</f>
        <v>1505.7246350000005</v>
      </c>
      <c r="Q23" s="2">
        <f t="shared" ref="Q23:T23" si="19">Q22*Q32</f>
        <v>1624.1548905740001</v>
      </c>
      <c r="R23" s="2">
        <f t="shared" si="19"/>
        <v>1749.208077524599</v>
      </c>
      <c r="S23" s="2">
        <f t="shared" si="19"/>
        <v>1881.2102104722353</v>
      </c>
      <c r="T23" s="2">
        <f t="shared" si="19"/>
        <v>2020.5023241768085</v>
      </c>
    </row>
    <row r="24" spans="1:118" s="4" customFormat="1" ht="15" x14ac:dyDescent="0.25">
      <c r="A24" s="2"/>
      <c r="B24" s="4" t="s">
        <v>28</v>
      </c>
      <c r="M24" s="4">
        <f>M22-M23</f>
        <v>2422</v>
      </c>
      <c r="N24" s="4">
        <f t="shared" ref="N24:T24" si="20">N22-N23</f>
        <v>3372</v>
      </c>
      <c r="O24" s="4">
        <f t="shared" si="20"/>
        <v>4576</v>
      </c>
      <c r="P24" s="4">
        <f t="shared" si="20"/>
        <v>6419.1418650000014</v>
      </c>
      <c r="Q24" s="4">
        <f t="shared" si="20"/>
        <v>6924.0287440259999</v>
      </c>
      <c r="R24" s="4">
        <f t="shared" si="20"/>
        <v>7457.150225236448</v>
      </c>
      <c r="S24" s="4">
        <f t="shared" si="20"/>
        <v>8019.8961604342667</v>
      </c>
      <c r="T24" s="4">
        <f t="shared" si="20"/>
        <v>8613.7204346484996</v>
      </c>
      <c r="U24" s="4">
        <f t="shared" ref="U24:AZ24" si="21">T24*(1+$W$51)</f>
        <v>8699.8576389949849</v>
      </c>
      <c r="V24" s="4">
        <f t="shared" si="21"/>
        <v>8786.8562153849343</v>
      </c>
      <c r="W24" s="4">
        <f t="shared" si="21"/>
        <v>8874.7247775387841</v>
      </c>
      <c r="X24" s="4">
        <f t="shared" si="21"/>
        <v>8963.4720253141713</v>
      </c>
      <c r="Y24" s="4">
        <f t="shared" si="21"/>
        <v>9053.1067455673128</v>
      </c>
      <c r="Z24" s="4">
        <f t="shared" si="21"/>
        <v>9143.6378130229859</v>
      </c>
      <c r="AA24" s="4">
        <f t="shared" si="21"/>
        <v>9235.074191153215</v>
      </c>
      <c r="AB24" s="4">
        <f t="shared" si="21"/>
        <v>9327.4249330647472</v>
      </c>
      <c r="AC24" s="4">
        <f t="shared" si="21"/>
        <v>9420.699182395394</v>
      </c>
      <c r="AD24" s="4">
        <f t="shared" si="21"/>
        <v>9514.906174219348</v>
      </c>
      <c r="AE24" s="4">
        <f t="shared" si="21"/>
        <v>9610.0552359615413</v>
      </c>
      <c r="AF24" s="4">
        <f t="shared" si="21"/>
        <v>9706.1557883211572</v>
      </c>
      <c r="AG24" s="4">
        <f t="shared" si="21"/>
        <v>9803.2173462043684</v>
      </c>
      <c r="AH24" s="4">
        <f t="shared" si="21"/>
        <v>9901.2495196664113</v>
      </c>
      <c r="AI24" s="4">
        <f t="shared" si="21"/>
        <v>10000.262014863076</v>
      </c>
      <c r="AJ24" s="4">
        <f t="shared" si="21"/>
        <v>10100.264635011707</v>
      </c>
      <c r="AK24" s="4">
        <f t="shared" si="21"/>
        <v>10201.267281361823</v>
      </c>
      <c r="AL24" s="4">
        <f t="shared" si="21"/>
        <v>10303.279954175441</v>
      </c>
      <c r="AM24" s="4">
        <f t="shared" si="21"/>
        <v>10406.312753717195</v>
      </c>
      <c r="AN24" s="4">
        <f t="shared" si="21"/>
        <v>10510.375881254367</v>
      </c>
      <c r="AO24" s="4">
        <f t="shared" si="21"/>
        <v>10615.479640066911</v>
      </c>
      <c r="AP24" s="4">
        <f t="shared" si="21"/>
        <v>10721.634436467581</v>
      </c>
      <c r="AQ24" s="4">
        <f t="shared" si="21"/>
        <v>10828.850780832256</v>
      </c>
      <c r="AR24" s="4">
        <f t="shared" si="21"/>
        <v>10937.139288640577</v>
      </c>
      <c r="AS24" s="4">
        <f t="shared" si="21"/>
        <v>11046.510681526983</v>
      </c>
      <c r="AT24" s="4">
        <f t="shared" si="21"/>
        <v>11156.975788342254</v>
      </c>
      <c r="AU24" s="4">
        <f t="shared" si="21"/>
        <v>11268.545546225676</v>
      </c>
      <c r="AV24" s="4">
        <f t="shared" si="21"/>
        <v>11381.231001687933</v>
      </c>
      <c r="AW24" s="4">
        <f t="shared" si="21"/>
        <v>11495.043311704812</v>
      </c>
      <c r="AX24" s="4">
        <f t="shared" si="21"/>
        <v>11609.993744821861</v>
      </c>
      <c r="AY24" s="4">
        <f t="shared" si="21"/>
        <v>11726.093682270079</v>
      </c>
      <c r="AZ24" s="4">
        <f t="shared" si="21"/>
        <v>11843.354619092779</v>
      </c>
      <c r="BA24" s="4">
        <f t="shared" ref="BA24:CF24" si="22">AZ24*(1+$W$51)</f>
        <v>11961.788165283708</v>
      </c>
      <c r="BB24" s="4">
        <f t="shared" si="22"/>
        <v>12081.406046936545</v>
      </c>
      <c r="BC24" s="4">
        <f t="shared" si="22"/>
        <v>12202.22010740591</v>
      </c>
      <c r="BD24" s="4">
        <f t="shared" si="22"/>
        <v>12324.24230847997</v>
      </c>
      <c r="BE24" s="4">
        <f t="shared" si="22"/>
        <v>12447.484731564769</v>
      </c>
      <c r="BF24" s="4">
        <f t="shared" si="22"/>
        <v>12571.959578880416</v>
      </c>
      <c r="BG24" s="4">
        <f t="shared" si="22"/>
        <v>12697.67917466922</v>
      </c>
      <c r="BH24" s="4">
        <f t="shared" si="22"/>
        <v>12824.655966415912</v>
      </c>
      <c r="BI24" s="4">
        <f t="shared" si="22"/>
        <v>12952.902526080072</v>
      </c>
      <c r="BJ24" s="4">
        <f t="shared" si="22"/>
        <v>13082.431551340873</v>
      </c>
      <c r="BK24" s="4">
        <f t="shared" si="22"/>
        <v>13213.255866854282</v>
      </c>
      <c r="BL24" s="4">
        <f t="shared" si="22"/>
        <v>13345.388425522826</v>
      </c>
      <c r="BM24" s="4">
        <f t="shared" si="22"/>
        <v>13478.842309778054</v>
      </c>
      <c r="BN24" s="4">
        <f t="shared" si="22"/>
        <v>13613.630732875836</v>
      </c>
      <c r="BO24" s="4">
        <f t="shared" si="22"/>
        <v>13749.767040204595</v>
      </c>
      <c r="BP24" s="4">
        <f t="shared" si="22"/>
        <v>13887.264710606642</v>
      </c>
      <c r="BQ24" s="4">
        <f t="shared" si="22"/>
        <v>14026.137357712709</v>
      </c>
      <c r="BR24" s="4">
        <f t="shared" si="22"/>
        <v>14166.398731289835</v>
      </c>
      <c r="BS24" s="4">
        <f t="shared" si="22"/>
        <v>14308.062718602734</v>
      </c>
      <c r="BT24" s="4">
        <f t="shared" si="22"/>
        <v>14451.143345788762</v>
      </c>
      <c r="BU24" s="4">
        <f t="shared" si="22"/>
        <v>14595.65477924665</v>
      </c>
      <c r="BV24" s="4">
        <f t="shared" si="22"/>
        <v>14741.611327039116</v>
      </c>
      <c r="BW24" s="4">
        <f t="shared" si="22"/>
        <v>14889.027440309508</v>
      </c>
      <c r="BX24" s="4">
        <f t="shared" si="22"/>
        <v>15037.917714712603</v>
      </c>
      <c r="BY24" s="4">
        <f t="shared" si="22"/>
        <v>15188.296891859729</v>
      </c>
      <c r="BZ24" s="4">
        <f t="shared" si="22"/>
        <v>15340.179860778326</v>
      </c>
      <c r="CA24" s="4">
        <f t="shared" si="22"/>
        <v>15493.581659386109</v>
      </c>
      <c r="CB24" s="4">
        <f t="shared" si="22"/>
        <v>15648.51747597997</v>
      </c>
      <c r="CC24" s="4">
        <f t="shared" si="22"/>
        <v>15805.002650739771</v>
      </c>
      <c r="CD24" s="4">
        <f t="shared" si="22"/>
        <v>15963.052677247168</v>
      </c>
      <c r="CE24" s="4">
        <f t="shared" si="22"/>
        <v>16122.683204019639</v>
      </c>
      <c r="CF24" s="4">
        <f t="shared" si="22"/>
        <v>16283.910036059835</v>
      </c>
      <c r="CG24" s="4">
        <f t="shared" ref="CG24:DN24" si="23">CF24*(1+$W$51)</f>
        <v>16446.749136420432</v>
      </c>
      <c r="CH24" s="4">
        <f t="shared" si="23"/>
        <v>16611.216627784637</v>
      </c>
      <c r="CI24" s="4">
        <f t="shared" si="23"/>
        <v>16777.328794062483</v>
      </c>
      <c r="CJ24" s="4">
        <f t="shared" si="23"/>
        <v>16945.102082003108</v>
      </c>
      <c r="CK24" s="4">
        <f t="shared" si="23"/>
        <v>17114.553102823138</v>
      </c>
      <c r="CL24" s="4">
        <f t="shared" si="23"/>
        <v>17285.698633851371</v>
      </c>
      <c r="CM24" s="4">
        <f t="shared" si="23"/>
        <v>17458.555620189883</v>
      </c>
      <c r="CN24" s="4">
        <f t="shared" si="23"/>
        <v>17633.141176391782</v>
      </c>
      <c r="CO24" s="4">
        <f t="shared" si="23"/>
        <v>17809.472588155699</v>
      </c>
      <c r="CP24" s="4">
        <f t="shared" si="23"/>
        <v>17987.567314037256</v>
      </c>
      <c r="CQ24" s="4">
        <f t="shared" si="23"/>
        <v>18167.44298717763</v>
      </c>
      <c r="CR24" s="4">
        <f t="shared" si="23"/>
        <v>18349.117417049405</v>
      </c>
      <c r="CS24" s="4">
        <f t="shared" si="23"/>
        <v>18532.608591219898</v>
      </c>
      <c r="CT24" s="4">
        <f t="shared" si="23"/>
        <v>18717.934677132096</v>
      </c>
      <c r="CU24" s="4">
        <f t="shared" si="23"/>
        <v>18905.114023903418</v>
      </c>
      <c r="CV24" s="4">
        <f t="shared" si="23"/>
        <v>19094.165164142451</v>
      </c>
      <c r="CW24" s="4">
        <f t="shared" si="23"/>
        <v>19285.106815783874</v>
      </c>
      <c r="CX24" s="4">
        <f t="shared" si="23"/>
        <v>19477.957883941712</v>
      </c>
      <c r="CY24" s="4">
        <f t="shared" si="23"/>
        <v>19672.73746278113</v>
      </c>
      <c r="CZ24" s="4">
        <f t="shared" si="23"/>
        <v>19869.464837408941</v>
      </c>
      <c r="DA24" s="4">
        <f t="shared" si="23"/>
        <v>20068.159485783031</v>
      </c>
      <c r="DB24" s="4">
        <f t="shared" si="23"/>
        <v>20268.841080640861</v>
      </c>
      <c r="DC24" s="4">
        <f t="shared" si="23"/>
        <v>20471.529491447269</v>
      </c>
      <c r="DD24" s="4">
        <f t="shared" si="23"/>
        <v>20676.244786361742</v>
      </c>
      <c r="DE24" s="4">
        <f t="shared" si="23"/>
        <v>20883.007234225359</v>
      </c>
      <c r="DF24" s="4">
        <f t="shared" si="23"/>
        <v>21091.837306567613</v>
      </c>
      <c r="DG24" s="4">
        <f t="shared" si="23"/>
        <v>21302.75567963329</v>
      </c>
      <c r="DH24" s="4">
        <f t="shared" si="23"/>
        <v>21515.783236429623</v>
      </c>
      <c r="DI24" s="4">
        <f t="shared" si="23"/>
        <v>21730.94106879392</v>
      </c>
      <c r="DJ24" s="4">
        <f t="shared" si="23"/>
        <v>21948.25047948186</v>
      </c>
      <c r="DK24" s="4">
        <f t="shared" si="23"/>
        <v>22167.732984276678</v>
      </c>
      <c r="DL24" s="4">
        <f t="shared" si="23"/>
        <v>22389.410314119443</v>
      </c>
      <c r="DM24" s="4">
        <f t="shared" si="23"/>
        <v>22613.304417260639</v>
      </c>
      <c r="DN24" s="4">
        <f t="shared" si="23"/>
        <v>22839.437461433245</v>
      </c>
    </row>
    <row r="25" spans="1:118" x14ac:dyDescent="0.2">
      <c r="B25" s="2" t="s">
        <v>29</v>
      </c>
      <c r="M25" s="7">
        <v>3.33</v>
      </c>
      <c r="N25" s="7">
        <v>4.71</v>
      </c>
      <c r="O25" s="7">
        <v>6.51</v>
      </c>
      <c r="P25" s="7">
        <f>P24/P26</f>
        <v>9.1985763300168202</v>
      </c>
      <c r="Q25" s="7">
        <f t="shared" ref="Q25:T25" si="24">Q24/Q26</f>
        <v>9.9220749833285762</v>
      </c>
      <c r="R25" s="7">
        <f t="shared" si="24"/>
        <v>10.686033584216412</v>
      </c>
      <c r="S25" s="7">
        <f t="shared" si="24"/>
        <v>11.492443778630122</v>
      </c>
      <c r="T25" s="7">
        <f t="shared" si="24"/>
        <v>12.343388971594237</v>
      </c>
    </row>
    <row r="26" spans="1:118" x14ac:dyDescent="0.2">
      <c r="B26" s="2" t="s">
        <v>2</v>
      </c>
      <c r="O26" s="2">
        <v>697.84079999999994</v>
      </c>
      <c r="P26" s="2">
        <v>697.84079999999994</v>
      </c>
      <c r="Q26" s="2">
        <v>697.84079999999994</v>
      </c>
      <c r="R26" s="2">
        <v>697.84079999999994</v>
      </c>
      <c r="S26" s="2">
        <v>697.84079999999994</v>
      </c>
      <c r="T26" s="2">
        <v>697.84079999999994</v>
      </c>
    </row>
    <row r="27" spans="1:118" x14ac:dyDescent="0.2">
      <c r="P27" s="13"/>
    </row>
    <row r="28" spans="1:118" s="4" customFormat="1" ht="15" x14ac:dyDescent="0.25">
      <c r="A28" s="2"/>
      <c r="B28" s="4" t="s">
        <v>30</v>
      </c>
      <c r="N28" s="8">
        <f>N12/M12-1</f>
        <v>-0.13563894781087182</v>
      </c>
      <c r="O28" s="8">
        <f>O12/N12-1</f>
        <v>8.0769013288097158E-2</v>
      </c>
      <c r="P28" s="8">
        <f t="shared" ref="P28:S28" si="25">P12/O12-1</f>
        <v>7.5267090104324641E-2</v>
      </c>
      <c r="Q28" s="8">
        <f t="shared" si="25"/>
        <v>2.540463925426284E-2</v>
      </c>
      <c r="R28" s="8">
        <f t="shared" si="25"/>
        <v>2.5481567577577025E-2</v>
      </c>
      <c r="S28" s="8">
        <f t="shared" si="25"/>
        <v>2.5559173817377046E-2</v>
      </c>
      <c r="T28" s="8">
        <f t="shared" ref="T28" si="26">T12/S12-1</f>
        <v>2.5637452150666151E-2</v>
      </c>
    </row>
    <row r="29" spans="1:118" s="4" customFormat="1" ht="15" x14ac:dyDescent="0.25">
      <c r="A29" s="2"/>
      <c r="B29" s="2" t="s">
        <v>40</v>
      </c>
      <c r="N29" s="8">
        <f>N10/M10-1</f>
        <v>-0.18797476340694008</v>
      </c>
      <c r="O29" s="8">
        <f>O10/N10-1</f>
        <v>0.10981617018631606</v>
      </c>
      <c r="P29" s="8">
        <f t="shared" ref="P29:S29" si="27">P10/O10-1</f>
        <v>5.0000000000000044E-2</v>
      </c>
      <c r="Q29" s="8">
        <f t="shared" si="27"/>
        <v>2.0000000000000018E-2</v>
      </c>
      <c r="R29" s="8">
        <f t="shared" si="27"/>
        <v>2.0000000000000018E-2</v>
      </c>
      <c r="S29" s="8">
        <f t="shared" si="27"/>
        <v>2.0000000000000018E-2</v>
      </c>
      <c r="T29" s="8">
        <f t="shared" ref="T29" si="28">T10/S10-1</f>
        <v>2.0000000000000018E-2</v>
      </c>
    </row>
    <row r="30" spans="1:118" s="4" customFormat="1" ht="15" x14ac:dyDescent="0.25">
      <c r="A30" s="2"/>
      <c r="B30" s="2" t="s">
        <v>41</v>
      </c>
      <c r="N30" s="8">
        <f>N11/M11-1</f>
        <v>4.4293089236909555E-2</v>
      </c>
      <c r="O30" s="8">
        <f>O11/N11-1</f>
        <v>3.1156530408773531E-3</v>
      </c>
      <c r="P30" s="8">
        <f t="shared" ref="P30:S30" si="29">P11/O11-1</f>
        <v>0.14999999999999991</v>
      </c>
      <c r="Q30" s="8">
        <f t="shared" si="29"/>
        <v>4.0000000000000036E-2</v>
      </c>
      <c r="R30" s="8">
        <f t="shared" si="29"/>
        <v>4.0000000000000036E-2</v>
      </c>
      <c r="S30" s="8">
        <f t="shared" si="29"/>
        <v>4.0000000000000036E-2</v>
      </c>
      <c r="T30" s="8">
        <f t="shared" ref="T30" si="30">T11/S11-1</f>
        <v>4.0000000000000036E-2</v>
      </c>
    </row>
    <row r="31" spans="1:118" s="4" customFormat="1" ht="15" x14ac:dyDescent="0.25">
      <c r="A31" s="2"/>
      <c r="B31" s="4" t="s">
        <v>67</v>
      </c>
      <c r="N31" s="8"/>
      <c r="O31" s="8">
        <f>O2/N2-1</f>
        <v>0.53971856559237397</v>
      </c>
      <c r="P31" s="8">
        <f t="shared" ref="P31:T31" si="31">P2/O2-1</f>
        <v>-1</v>
      </c>
      <c r="Q31" s="8" t="e">
        <f t="shared" si="31"/>
        <v>#DIV/0!</v>
      </c>
      <c r="R31" s="8" t="e">
        <f t="shared" si="31"/>
        <v>#DIV/0!</v>
      </c>
      <c r="S31" s="8" t="e">
        <f t="shared" si="31"/>
        <v>#DIV/0!</v>
      </c>
      <c r="T31" s="8" t="e">
        <f t="shared" si="31"/>
        <v>#DIV/0!</v>
      </c>
    </row>
    <row r="32" spans="1:118" x14ac:dyDescent="0.2">
      <c r="B32" s="2" t="s">
        <v>31</v>
      </c>
      <c r="M32" s="6">
        <f>M23/M22</f>
        <v>0.2489922480620155</v>
      </c>
      <c r="N32" s="6">
        <f t="shared" ref="N32:O32" si="32">N23/N22</f>
        <v>0.17494494739417665</v>
      </c>
      <c r="O32" s="6">
        <f t="shared" si="32"/>
        <v>9.3502377179080817E-2</v>
      </c>
      <c r="P32" s="6">
        <v>0.19</v>
      </c>
      <c r="Q32" s="6">
        <v>0.19</v>
      </c>
      <c r="R32" s="6">
        <v>0.19</v>
      </c>
      <c r="S32" s="6">
        <v>0.19</v>
      </c>
      <c r="T32" s="6">
        <v>0.19</v>
      </c>
    </row>
    <row r="34" spans="2:20" x14ac:dyDescent="0.2">
      <c r="B34" s="2" t="s">
        <v>39</v>
      </c>
      <c r="M34" s="6">
        <f t="shared" ref="M34:T34" si="33">SUM(M15:M16)/M12</f>
        <v>0.22175736307562977</v>
      </c>
      <c r="N34" s="6">
        <f t="shared" si="33"/>
        <v>0.23826972010178116</v>
      </c>
      <c r="O34" s="6">
        <f t="shared" si="33"/>
        <v>0.22235708979040883</v>
      </c>
      <c r="P34" s="6">
        <f t="shared" si="33"/>
        <v>0.25917654769533494</v>
      </c>
      <c r="Q34" s="6">
        <f t="shared" si="33"/>
        <v>0.26044586503002093</v>
      </c>
      <c r="R34" s="6">
        <f t="shared" si="33"/>
        <v>0.26172636798672244</v>
      </c>
      <c r="S34" s="6">
        <f t="shared" si="33"/>
        <v>0.26301796048599191</v>
      </c>
      <c r="T34" s="6">
        <f t="shared" si="33"/>
        <v>0.26432054055999959</v>
      </c>
    </row>
    <row r="35" spans="2:20" x14ac:dyDescent="0.2">
      <c r="B35" s="2" t="s">
        <v>32</v>
      </c>
      <c r="M35" s="10">
        <f>M15/M10</f>
        <v>0.16682649842271294</v>
      </c>
      <c r="N35" s="10">
        <f t="shared" ref="N35:O35" si="34">N15/N10</f>
        <v>0.17461501406305843</v>
      </c>
      <c r="O35" s="10">
        <f t="shared" si="34"/>
        <v>0.15763091570988519</v>
      </c>
      <c r="P35" s="10">
        <v>0.17</v>
      </c>
      <c r="Q35" s="10">
        <v>0.17</v>
      </c>
      <c r="R35" s="10">
        <v>0.17</v>
      </c>
      <c r="S35" s="10">
        <v>0.17</v>
      </c>
      <c r="T35" s="10">
        <v>0.17</v>
      </c>
    </row>
    <row r="36" spans="2:20" x14ac:dyDescent="0.2">
      <c r="B36" s="2" t="s">
        <v>33</v>
      </c>
      <c r="M36" s="6">
        <f>M16/M11</f>
        <v>0.41061125330788251</v>
      </c>
      <c r="N36" s="6">
        <f t="shared" ref="N36:O36" si="35">N16/N11</f>
        <v>0.40844134263875043</v>
      </c>
      <c r="O36" s="6">
        <f t="shared" si="35"/>
        <v>0.41379881558785769</v>
      </c>
      <c r="P36" s="6">
        <v>0.5</v>
      </c>
      <c r="Q36" s="6">
        <v>0.5</v>
      </c>
      <c r="R36" s="6">
        <v>0.5</v>
      </c>
      <c r="S36" s="6">
        <v>0.5</v>
      </c>
      <c r="T36" s="6">
        <v>0.5</v>
      </c>
    </row>
    <row r="37" spans="2:20" x14ac:dyDescent="0.2">
      <c r="B37" s="2" t="s">
        <v>47</v>
      </c>
      <c r="M37" s="6">
        <f>M19/M12</f>
        <v>0.16534540229323272</v>
      </c>
      <c r="N37" s="6">
        <f t="shared" ref="N37:O37" si="36">N19/N12</f>
        <v>0.17707661860333615</v>
      </c>
      <c r="O37" s="6">
        <f t="shared" si="36"/>
        <v>0.1570939759540427</v>
      </c>
      <c r="P37" s="6">
        <v>0.17</v>
      </c>
      <c r="Q37" s="6">
        <v>0.17</v>
      </c>
      <c r="R37" s="6">
        <v>0.17</v>
      </c>
      <c r="S37" s="6">
        <v>0.17</v>
      </c>
      <c r="T37" s="6">
        <v>0.17</v>
      </c>
    </row>
    <row r="39" spans="2:20" x14ac:dyDescent="0.2">
      <c r="B39" s="2" t="s">
        <v>36</v>
      </c>
      <c r="O39" s="2">
        <f>O40-O41</f>
        <v>-30973</v>
      </c>
      <c r="P39" s="2">
        <f>O39+P24</f>
        <v>-24553.858134999999</v>
      </c>
      <c r="Q39" s="2">
        <f t="shared" ref="Q39:S39" si="37">P39+Q24</f>
        <v>-17629.829390973999</v>
      </c>
      <c r="R39" s="2">
        <f t="shared" si="37"/>
        <v>-10172.679165737551</v>
      </c>
      <c r="S39" s="2">
        <f t="shared" si="37"/>
        <v>-2152.783005303284</v>
      </c>
      <c r="T39" s="2">
        <f t="shared" ref="T39" si="38">S39+T24</f>
        <v>6460.9374293452156</v>
      </c>
    </row>
    <row r="40" spans="2:20" x14ac:dyDescent="0.2">
      <c r="B40" s="2" t="s">
        <v>4</v>
      </c>
      <c r="O40" s="2">
        <v>3633</v>
      </c>
    </row>
    <row r="41" spans="2:20" x14ac:dyDescent="0.2">
      <c r="B41" s="2" t="s">
        <v>5</v>
      </c>
      <c r="O41" s="2">
        <f>19363+12292+2951</f>
        <v>34606</v>
      </c>
    </row>
    <row r="43" spans="2:20" x14ac:dyDescent="0.2">
      <c r="B43" s="2" t="s">
        <v>4</v>
      </c>
    </row>
    <row r="44" spans="2:20" x14ac:dyDescent="0.2">
      <c r="B44" s="2" t="s">
        <v>37</v>
      </c>
    </row>
    <row r="46" spans="2:20" x14ac:dyDescent="0.2">
      <c r="B46" s="2" t="s">
        <v>34</v>
      </c>
      <c r="M46" s="2">
        <f>M24</f>
        <v>2422</v>
      </c>
      <c r="N46" s="2">
        <f t="shared" ref="N46:T46" si="39">N24</f>
        <v>3372</v>
      </c>
      <c r="O46" s="2">
        <f t="shared" si="39"/>
        <v>4576</v>
      </c>
      <c r="P46" s="2">
        <f t="shared" si="39"/>
        <v>6419.1418650000014</v>
      </c>
      <c r="Q46" s="2">
        <f t="shared" si="39"/>
        <v>6924.0287440259999</v>
      </c>
      <c r="R46" s="2">
        <f t="shared" si="39"/>
        <v>7457.150225236448</v>
      </c>
      <c r="S46" s="2">
        <f t="shared" si="39"/>
        <v>8019.8961604342667</v>
      </c>
      <c r="T46" s="2">
        <f t="shared" si="39"/>
        <v>8613.7204346484996</v>
      </c>
    </row>
    <row r="47" spans="2:20" x14ac:dyDescent="0.2">
      <c r="B47" s="2" t="s">
        <v>35</v>
      </c>
      <c r="M47" s="2">
        <v>2422</v>
      </c>
      <c r="N47" s="2">
        <v>3372</v>
      </c>
      <c r="O47" s="2">
        <v>4576</v>
      </c>
    </row>
    <row r="48" spans="2:20" x14ac:dyDescent="0.2">
      <c r="B48" s="2" t="s">
        <v>48</v>
      </c>
      <c r="M48" s="2">
        <v>3156</v>
      </c>
      <c r="N48" s="2">
        <v>3303</v>
      </c>
      <c r="O48" s="2">
        <v>3123</v>
      </c>
      <c r="P48" s="2">
        <f>O48*(1+P28)</f>
        <v>3358.0591223958058</v>
      </c>
      <c r="Q48" s="2">
        <f t="shared" ref="Q48:T48" si="40">P48*(1+Q28)</f>
        <v>3443.3694029947578</v>
      </c>
      <c r="R48" s="2">
        <f t="shared" si="40"/>
        <v>3531.1118531317297</v>
      </c>
      <c r="S48" s="2">
        <f t="shared" si="40"/>
        <v>3621.364154754524</v>
      </c>
      <c r="T48" s="2">
        <f t="shared" si="40"/>
        <v>3714.2067049921807</v>
      </c>
    </row>
    <row r="49" spans="1:116" x14ac:dyDescent="0.2">
      <c r="B49" s="2" t="s">
        <v>49</v>
      </c>
      <c r="M49" s="2">
        <v>931</v>
      </c>
      <c r="N49" s="2">
        <v>878</v>
      </c>
      <c r="O49" s="2">
        <v>785</v>
      </c>
      <c r="P49" s="2">
        <f>O49*1.1</f>
        <v>863.50000000000011</v>
      </c>
      <c r="Q49" s="2">
        <f t="shared" ref="Q49:T49" si="41">P49*1.1</f>
        <v>949.85000000000025</v>
      </c>
      <c r="R49" s="2">
        <f t="shared" si="41"/>
        <v>1044.8350000000003</v>
      </c>
      <c r="S49" s="2">
        <f t="shared" si="41"/>
        <v>1149.3185000000003</v>
      </c>
      <c r="T49" s="2">
        <f t="shared" si="41"/>
        <v>1264.2503500000005</v>
      </c>
    </row>
    <row r="50" spans="1:116" x14ac:dyDescent="0.2">
      <c r="B50" s="2" t="s">
        <v>50</v>
      </c>
      <c r="M50" s="2">
        <v>-717</v>
      </c>
      <c r="N50" s="2">
        <v>-91</v>
      </c>
      <c r="O50" s="2">
        <v>-208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V50" s="2" t="s">
        <v>42</v>
      </c>
      <c r="W50" s="9">
        <v>0.04</v>
      </c>
    </row>
    <row r="51" spans="1:116" x14ac:dyDescent="0.2">
      <c r="B51" s="2" t="s">
        <v>51</v>
      </c>
      <c r="M51" s="2">
        <v>961</v>
      </c>
      <c r="N51" s="2">
        <v>609</v>
      </c>
      <c r="O51" s="2">
        <v>453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V51" s="2" t="s">
        <v>43</v>
      </c>
      <c r="W51" s="9">
        <v>0.01</v>
      </c>
    </row>
    <row r="52" spans="1:116" x14ac:dyDescent="0.2">
      <c r="B52" s="2" t="s">
        <v>52</v>
      </c>
      <c r="M52" s="2">
        <v>113</v>
      </c>
      <c r="N52" s="2">
        <v>2977</v>
      </c>
      <c r="O52" s="2">
        <v>-1295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V52" s="2" t="s">
        <v>44</v>
      </c>
      <c r="W52" s="9">
        <v>0.09</v>
      </c>
    </row>
    <row r="53" spans="1:116" ht="15" x14ac:dyDescent="0.25">
      <c r="B53" s="2" t="s">
        <v>53</v>
      </c>
      <c r="M53" s="2">
        <v>-461</v>
      </c>
      <c r="N53" s="2">
        <v>309</v>
      </c>
      <c r="O53" s="2">
        <v>-951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V53" s="4" t="s">
        <v>45</v>
      </c>
      <c r="W53" s="4">
        <f>NPV(W52,P60:XFD60)+main!C5-main!C6</f>
        <v>89472.411643992018</v>
      </c>
    </row>
    <row r="54" spans="1:116" x14ac:dyDescent="0.2">
      <c r="B54" s="2" t="s">
        <v>54</v>
      </c>
      <c r="M54" s="2">
        <v>875</v>
      </c>
      <c r="N54" s="2">
        <v>975</v>
      </c>
      <c r="O54" s="2">
        <v>-3515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V54" s="2" t="s">
        <v>1</v>
      </c>
      <c r="W54" s="7">
        <f>W53/main!C3</f>
        <v>128.21321373584351</v>
      </c>
    </row>
    <row r="55" spans="1:116" ht="15" x14ac:dyDescent="0.25">
      <c r="B55" s="2" t="s">
        <v>55</v>
      </c>
      <c r="M55" s="2">
        <v>973</v>
      </c>
      <c r="N55" s="2">
        <v>-1484</v>
      </c>
      <c r="O55" s="2">
        <v>2347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 t="s">
        <v>38</v>
      </c>
      <c r="V55" s="2" t="s">
        <v>46</v>
      </c>
      <c r="W55" s="8">
        <f>W54/main!C2-1</f>
        <v>0.15507399762021179</v>
      </c>
    </row>
    <row r="56" spans="1:116" x14ac:dyDescent="0.2">
      <c r="B56" s="2" t="s">
        <v>56</v>
      </c>
      <c r="M56" s="2">
        <v>-8546</v>
      </c>
      <c r="N56" s="2">
        <v>-498</v>
      </c>
      <c r="O56" s="2">
        <v>1703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</row>
    <row r="57" spans="1:116" x14ac:dyDescent="0.2">
      <c r="B57" s="2" t="s">
        <v>57</v>
      </c>
      <c r="M57" s="2">
        <v>3209</v>
      </c>
      <c r="N57" s="2">
        <v>-1022</v>
      </c>
      <c r="O57" s="2">
        <v>-2497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</row>
    <row r="58" spans="1:116" s="4" customFormat="1" ht="15" x14ac:dyDescent="0.25">
      <c r="A58" s="2"/>
      <c r="B58" s="4" t="s">
        <v>58</v>
      </c>
      <c r="M58" s="4">
        <f>SUM(M47:M57)</f>
        <v>2916</v>
      </c>
      <c r="N58" s="4">
        <f t="shared" ref="N58:O58" si="42">SUM(N47:N57)</f>
        <v>9328</v>
      </c>
      <c r="O58" s="4">
        <f t="shared" si="42"/>
        <v>4521</v>
      </c>
      <c r="P58" s="4">
        <f>SUM(P48:P57,P46)</f>
        <v>10640.700987395809</v>
      </c>
      <c r="Q58" s="4">
        <f t="shared" ref="Q58:T58" si="43">SUM(Q48:Q57,Q46)</f>
        <v>11317.248147020757</v>
      </c>
      <c r="R58" s="4">
        <f t="shared" si="43"/>
        <v>12033.097078368177</v>
      </c>
      <c r="S58" s="4">
        <f t="shared" si="43"/>
        <v>12790.57881518879</v>
      </c>
      <c r="T58" s="4">
        <f t="shared" si="43"/>
        <v>13592.177489640681</v>
      </c>
    </row>
    <row r="59" spans="1:116" s="4" customFormat="1" ht="15" x14ac:dyDescent="0.25">
      <c r="A59" s="2"/>
      <c r="B59" s="4" t="s">
        <v>59</v>
      </c>
      <c r="M59" s="4">
        <v>-3003</v>
      </c>
      <c r="N59" s="4">
        <v>-2756</v>
      </c>
      <c r="O59" s="4">
        <v>-2652</v>
      </c>
      <c r="P59" s="4">
        <f>O59*(1+P28)</f>
        <v>-2851.6083229566689</v>
      </c>
      <c r="Q59" s="4">
        <f t="shared" ref="Q59:T59" si="44">P59*(1+Q28)</f>
        <v>-2924.0524036958363</v>
      </c>
      <c r="R59" s="4">
        <f t="shared" si="44"/>
        <v>-2998.5618426209885</v>
      </c>
      <c r="S59" s="4">
        <f t="shared" si="44"/>
        <v>-3075.2026059586929</v>
      </c>
      <c r="T59" s="4">
        <f t="shared" si="44"/>
        <v>-3154.0429656225629</v>
      </c>
    </row>
    <row r="60" spans="1:116" s="4" customFormat="1" ht="15" x14ac:dyDescent="0.25">
      <c r="A60" s="2"/>
      <c r="B60" s="4" t="s">
        <v>60</v>
      </c>
      <c r="M60" s="4">
        <f>M58+M59</f>
        <v>-87</v>
      </c>
      <c r="N60" s="4">
        <f t="shared" ref="N60:O60" si="45">N58+N59</f>
        <v>6572</v>
      </c>
      <c r="O60" s="4">
        <f t="shared" si="45"/>
        <v>1869</v>
      </c>
      <c r="P60" s="4">
        <f t="shared" ref="P60" si="46">P58+P59</f>
        <v>7789.0926644391402</v>
      </c>
      <c r="Q60" s="4">
        <f t="shared" ref="Q60" si="47">Q58+Q59</f>
        <v>8393.1957433249208</v>
      </c>
      <c r="R60" s="4">
        <f t="shared" ref="R60" si="48">R58+R59</f>
        <v>9034.5352357471893</v>
      </c>
      <c r="S60" s="4">
        <f t="shared" ref="S60" si="49">S58+S59</f>
        <v>9715.3762092300967</v>
      </c>
      <c r="T60" s="4">
        <f t="shared" ref="T60" si="50">T58+T59</f>
        <v>10438.134524018118</v>
      </c>
      <c r="U60" s="4">
        <f t="shared" ref="U60:AZ60" si="51">T60*(1+$W$51)</f>
        <v>10542.515869258299</v>
      </c>
      <c r="V60" s="4">
        <f t="shared" si="51"/>
        <v>10647.941027950883</v>
      </c>
      <c r="W60" s="4">
        <f t="shared" si="51"/>
        <v>10754.420438230392</v>
      </c>
      <c r="X60" s="4">
        <f t="shared" si="51"/>
        <v>10861.964642612696</v>
      </c>
      <c r="Y60" s="4">
        <f t="shared" si="51"/>
        <v>10970.584289038823</v>
      </c>
      <c r="Z60" s="4">
        <f t="shared" si="51"/>
        <v>11080.29013192921</v>
      </c>
      <c r="AA60" s="4">
        <f t="shared" si="51"/>
        <v>11191.093033248502</v>
      </c>
      <c r="AB60" s="4">
        <f t="shared" si="51"/>
        <v>11303.003963580988</v>
      </c>
      <c r="AC60" s="4">
        <f t="shared" si="51"/>
        <v>11416.034003216799</v>
      </c>
      <c r="AD60" s="4">
        <f t="shared" si="51"/>
        <v>11530.194343248966</v>
      </c>
      <c r="AE60" s="4">
        <f t="shared" si="51"/>
        <v>11645.496286681457</v>
      </c>
      <c r="AF60" s="4">
        <f t="shared" si="51"/>
        <v>11761.951249548272</v>
      </c>
      <c r="AG60" s="4">
        <f t="shared" si="51"/>
        <v>11879.570762043755</v>
      </c>
      <c r="AH60" s="4">
        <f t="shared" si="51"/>
        <v>11998.366469664194</v>
      </c>
      <c r="AI60" s="4">
        <f t="shared" si="51"/>
        <v>12118.350134360835</v>
      </c>
      <c r="AJ60" s="4">
        <f t="shared" si="51"/>
        <v>12239.533635704443</v>
      </c>
      <c r="AK60" s="4">
        <f t="shared" si="51"/>
        <v>12361.928972061489</v>
      </c>
      <c r="AL60" s="4">
        <f t="shared" si="51"/>
        <v>12485.548261782104</v>
      </c>
      <c r="AM60" s="4">
        <f t="shared" si="51"/>
        <v>12610.403744399924</v>
      </c>
      <c r="AN60" s="4">
        <f t="shared" si="51"/>
        <v>12736.507781843924</v>
      </c>
      <c r="AO60" s="4">
        <f t="shared" si="51"/>
        <v>12863.872859662364</v>
      </c>
      <c r="AP60" s="4">
        <f t="shared" si="51"/>
        <v>12992.511588258987</v>
      </c>
      <c r="AQ60" s="4">
        <f t="shared" si="51"/>
        <v>13122.436704141577</v>
      </c>
      <c r="AR60" s="4">
        <f t="shared" si="51"/>
        <v>13253.661071182993</v>
      </c>
      <c r="AS60" s="4">
        <f t="shared" si="51"/>
        <v>13386.197681894822</v>
      </c>
      <c r="AT60" s="4">
        <f t="shared" si="51"/>
        <v>13520.059658713772</v>
      </c>
      <c r="AU60" s="4">
        <f t="shared" si="51"/>
        <v>13655.260255300909</v>
      </c>
      <c r="AV60" s="4">
        <f t="shared" si="51"/>
        <v>13791.812857853918</v>
      </c>
      <c r="AW60" s="4">
        <f t="shared" si="51"/>
        <v>13929.730986432458</v>
      </c>
      <c r="AX60" s="4">
        <f t="shared" si="51"/>
        <v>14069.028296296783</v>
      </c>
      <c r="AY60" s="4">
        <f t="shared" si="51"/>
        <v>14209.71857925975</v>
      </c>
      <c r="AZ60" s="4">
        <f t="shared" si="51"/>
        <v>14351.815765052348</v>
      </c>
      <c r="BA60" s="4">
        <f t="shared" ref="BA60:CF60" si="52">AZ60*(1+$W$51)</f>
        <v>14495.333922702872</v>
      </c>
      <c r="BB60" s="4">
        <f t="shared" si="52"/>
        <v>14640.287261929901</v>
      </c>
      <c r="BC60" s="4">
        <f t="shared" si="52"/>
        <v>14786.690134549201</v>
      </c>
      <c r="BD60" s="4">
        <f t="shared" si="52"/>
        <v>14934.557035894693</v>
      </c>
      <c r="BE60" s="4">
        <f t="shared" si="52"/>
        <v>15083.902606253641</v>
      </c>
      <c r="BF60" s="4">
        <f t="shared" si="52"/>
        <v>15234.741632316178</v>
      </c>
      <c r="BG60" s="4">
        <f t="shared" si="52"/>
        <v>15387.08904863934</v>
      </c>
      <c r="BH60" s="4">
        <f t="shared" si="52"/>
        <v>15540.959939125734</v>
      </c>
      <c r="BI60" s="4">
        <f t="shared" si="52"/>
        <v>15696.369538516992</v>
      </c>
      <c r="BJ60" s="4">
        <f t="shared" si="52"/>
        <v>15853.333233902162</v>
      </c>
      <c r="BK60" s="4">
        <f t="shared" si="52"/>
        <v>16011.866566241184</v>
      </c>
      <c r="BL60" s="4">
        <f t="shared" si="52"/>
        <v>16171.985231903596</v>
      </c>
      <c r="BM60" s="4">
        <f t="shared" si="52"/>
        <v>16333.705084222633</v>
      </c>
      <c r="BN60" s="4">
        <f t="shared" si="52"/>
        <v>16497.042135064858</v>
      </c>
      <c r="BO60" s="4">
        <f t="shared" si="52"/>
        <v>16662.012556415506</v>
      </c>
      <c r="BP60" s="4">
        <f t="shared" si="52"/>
        <v>16828.63268197966</v>
      </c>
      <c r="BQ60" s="4">
        <f t="shared" si="52"/>
        <v>16996.919008799458</v>
      </c>
      <c r="BR60" s="4">
        <f t="shared" si="52"/>
        <v>17166.888198887453</v>
      </c>
      <c r="BS60" s="4">
        <f t="shared" si="52"/>
        <v>17338.557080876326</v>
      </c>
      <c r="BT60" s="4">
        <f t="shared" si="52"/>
        <v>17511.942651685091</v>
      </c>
      <c r="BU60" s="4">
        <f t="shared" si="52"/>
        <v>17687.062078201943</v>
      </c>
      <c r="BV60" s="4">
        <f t="shared" si="52"/>
        <v>17863.932698983961</v>
      </c>
      <c r="BW60" s="4">
        <f t="shared" si="52"/>
        <v>18042.572025973801</v>
      </c>
      <c r="BX60" s="4">
        <f t="shared" si="52"/>
        <v>18222.997746233537</v>
      </c>
      <c r="BY60" s="4">
        <f t="shared" si="52"/>
        <v>18405.227723695873</v>
      </c>
      <c r="BZ60" s="4">
        <f t="shared" si="52"/>
        <v>18589.280000932831</v>
      </c>
      <c r="CA60" s="4">
        <f t="shared" si="52"/>
        <v>18775.17280094216</v>
      </c>
      <c r="CB60" s="4">
        <f t="shared" si="52"/>
        <v>18962.924528951582</v>
      </c>
      <c r="CC60" s="4">
        <f t="shared" si="52"/>
        <v>19152.5537742411</v>
      </c>
      <c r="CD60" s="4">
        <f t="shared" si="52"/>
        <v>19344.079311983511</v>
      </c>
      <c r="CE60" s="4">
        <f t="shared" si="52"/>
        <v>19537.520105103347</v>
      </c>
      <c r="CF60" s="4">
        <f t="shared" si="52"/>
        <v>19732.89530615438</v>
      </c>
      <c r="CG60" s="4">
        <f t="shared" ref="CG60:DL60" si="53">CF60*(1+$W$51)</f>
        <v>19930.224259215924</v>
      </c>
      <c r="CH60" s="4">
        <f t="shared" si="53"/>
        <v>20129.526501808083</v>
      </c>
      <c r="CI60" s="4">
        <f t="shared" si="53"/>
        <v>20330.821766826164</v>
      </c>
      <c r="CJ60" s="4">
        <f t="shared" si="53"/>
        <v>20534.129984494426</v>
      </c>
      <c r="CK60" s="4">
        <f t="shared" si="53"/>
        <v>20739.471284339372</v>
      </c>
      <c r="CL60" s="4">
        <f t="shared" si="53"/>
        <v>20946.865997182766</v>
      </c>
      <c r="CM60" s="4">
        <f t="shared" si="53"/>
        <v>21156.334657154592</v>
      </c>
      <c r="CN60" s="4">
        <f t="shared" si="53"/>
        <v>21367.898003726139</v>
      </c>
      <c r="CO60" s="4">
        <f t="shared" si="53"/>
        <v>21581.5769837634</v>
      </c>
      <c r="CP60" s="4">
        <f t="shared" si="53"/>
        <v>21797.392753601034</v>
      </c>
      <c r="CQ60" s="4">
        <f t="shared" si="53"/>
        <v>22015.366681137046</v>
      </c>
      <c r="CR60" s="4">
        <f t="shared" si="53"/>
        <v>22235.520347948415</v>
      </c>
      <c r="CS60" s="4">
        <f t="shared" si="53"/>
        <v>22457.8755514279</v>
      </c>
      <c r="CT60" s="4">
        <f t="shared" si="53"/>
        <v>22682.454306942178</v>
      </c>
      <c r="CU60" s="4">
        <f t="shared" si="53"/>
        <v>22909.2788500116</v>
      </c>
      <c r="CV60" s="4">
        <f t="shared" si="53"/>
        <v>23138.371638511715</v>
      </c>
      <c r="CW60" s="4">
        <f t="shared" si="53"/>
        <v>23369.755354896832</v>
      </c>
      <c r="CX60" s="4">
        <f t="shared" si="53"/>
        <v>23603.452908445801</v>
      </c>
      <c r="CY60" s="4">
        <f t="shared" si="53"/>
        <v>23839.487437530261</v>
      </c>
      <c r="CZ60" s="4">
        <f t="shared" si="53"/>
        <v>24077.882311905563</v>
      </c>
      <c r="DA60" s="4">
        <f t="shared" si="53"/>
        <v>24318.66113502462</v>
      </c>
      <c r="DB60" s="4">
        <f t="shared" si="53"/>
        <v>24561.847746374868</v>
      </c>
      <c r="DC60" s="4">
        <f t="shared" si="53"/>
        <v>24807.466223838615</v>
      </c>
      <c r="DD60" s="4">
        <f t="shared" si="53"/>
        <v>25055.540886077</v>
      </c>
      <c r="DE60" s="4">
        <f t="shared" si="53"/>
        <v>25306.096294937772</v>
      </c>
      <c r="DF60" s="4">
        <f t="shared" si="53"/>
        <v>25559.157257887149</v>
      </c>
      <c r="DG60" s="4">
        <f t="shared" si="53"/>
        <v>25814.748830466022</v>
      </c>
      <c r="DH60" s="4">
        <f t="shared" si="53"/>
        <v>26072.896318770683</v>
      </c>
      <c r="DI60" s="4">
        <f t="shared" si="53"/>
        <v>26333.62528195839</v>
      </c>
      <c r="DJ60" s="4">
        <f t="shared" si="53"/>
        <v>26596.961534777973</v>
      </c>
      <c r="DK60" s="4">
        <f t="shared" si="53"/>
        <v>26862.931150125754</v>
      </c>
      <c r="DL60" s="4">
        <f t="shared" si="53"/>
        <v>27131.560461627014</v>
      </c>
    </row>
  </sheetData>
  <hyperlinks>
    <hyperlink ref="A1" location="Sheet1!A1" display="Main" xr:uid="{6B0C802A-F7BA-4EEA-ADAB-A801FB6947EF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2025-05-14T22:31:56Z</dcterms:created>
  <dcterms:modified xsi:type="dcterms:W3CDTF">2025-05-29T22:18:29Z</dcterms:modified>
</cp:coreProperties>
</file>