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A2631D8-5A07-4F3D-B418-6B97B07F6546}" xr6:coauthVersionLast="47" xr6:coauthVersionMax="47" xr10:uidLastSave="{00000000-0000-0000-0000-000000000000}"/>
  <bookViews>
    <workbookView xWindow="6045" yWindow="780" windowWidth="17745" windowHeight="14595" activeTab="1" xr2:uid="{EF02A600-2A00-48A7-8EA3-BCA9096BA2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L2" i="2"/>
  <c r="M2" i="2"/>
  <c r="N2" i="2" s="1"/>
  <c r="K2" i="2"/>
  <c r="H26" i="2"/>
  <c r="I26" i="2"/>
  <c r="J2" i="2"/>
  <c r="G26" i="2"/>
  <c r="G25" i="2"/>
  <c r="H25" i="2"/>
  <c r="I25" i="2"/>
  <c r="I29" i="2"/>
  <c r="I27" i="2" s="1"/>
  <c r="J10" i="2" s="1"/>
  <c r="I8" i="2"/>
  <c r="H8" i="2"/>
  <c r="H4" i="2"/>
  <c r="I1" i="2"/>
  <c r="J1" i="2" s="1"/>
  <c r="K1" i="2" s="1"/>
  <c r="L1" i="2" s="1"/>
  <c r="M1" i="2" s="1"/>
  <c r="N1" i="2" s="1"/>
  <c r="G5" i="1"/>
  <c r="G4" i="1"/>
  <c r="G7" i="1" s="1"/>
  <c r="H9" i="2" l="1"/>
  <c r="H11" i="2" s="1"/>
  <c r="H13" i="2" s="1"/>
  <c r="H21" i="2" s="1"/>
  <c r="H18" i="2"/>
  <c r="K3" i="2"/>
  <c r="K4" i="2" s="1"/>
  <c r="J17" i="2"/>
  <c r="J3" i="2"/>
  <c r="K17" i="2"/>
  <c r="L17" i="2"/>
  <c r="J4" i="2"/>
  <c r="I4" i="2"/>
  <c r="J23" i="2" l="1"/>
  <c r="J24" i="2"/>
  <c r="K24" i="2" s="1"/>
  <c r="L24" i="2" s="1"/>
  <c r="H20" i="2"/>
  <c r="J5" i="2"/>
  <c r="K5" i="2" s="1"/>
  <c r="L5" i="2" s="1"/>
  <c r="J7" i="2"/>
  <c r="K7" i="2" s="1"/>
  <c r="L7" i="2" s="1"/>
  <c r="J6" i="2"/>
  <c r="K6" i="2" s="1"/>
  <c r="L6" i="2" s="1"/>
  <c r="I18" i="2"/>
  <c r="I9" i="2"/>
  <c r="I11" i="2" s="1"/>
  <c r="L3" i="2"/>
  <c r="L4" i="2" s="1"/>
  <c r="M17" i="2"/>
  <c r="M3" i="2"/>
  <c r="M4" i="2" s="1"/>
  <c r="N17" i="2"/>
  <c r="N3" i="2"/>
  <c r="N4" i="2" s="1"/>
  <c r="M24" i="2" l="1"/>
  <c r="N24" i="2" s="1"/>
  <c r="K23" i="2"/>
  <c r="M6" i="2"/>
  <c r="N6" i="2" s="1"/>
  <c r="M7" i="2"/>
  <c r="N7" i="2" s="1"/>
  <c r="M5" i="2"/>
  <c r="N5" i="2" s="1"/>
  <c r="J8" i="2"/>
  <c r="J9" i="2" s="1"/>
  <c r="J11" i="2" s="1"/>
  <c r="J12" i="2" s="1"/>
  <c r="J13" i="2" s="1"/>
  <c r="I13" i="2"/>
  <c r="I20" i="2"/>
  <c r="J15" i="2" l="1"/>
  <c r="J25" i="2"/>
  <c r="J26" i="2" s="1"/>
  <c r="L23" i="2"/>
  <c r="I21" i="2"/>
  <c r="I15" i="2"/>
  <c r="J21" i="2"/>
  <c r="J27" i="2"/>
  <c r="K10" i="2" s="1"/>
  <c r="K8" i="2"/>
  <c r="K9" i="2" s="1"/>
  <c r="K11" i="2" s="1"/>
  <c r="K12" i="2" s="1"/>
  <c r="K13" i="2" s="1"/>
  <c r="K25" i="2" s="1"/>
  <c r="K26" i="2" s="1"/>
  <c r="M23" i="2" l="1"/>
  <c r="K21" i="2"/>
  <c r="K15" i="2"/>
  <c r="K27" i="2"/>
  <c r="L10" i="2" s="1"/>
  <c r="L8" i="2"/>
  <c r="L9" i="2" s="1"/>
  <c r="N23" i="2" l="1"/>
  <c r="L11" i="2"/>
  <c r="L12" i="2" s="1"/>
  <c r="L13" i="2" s="1"/>
  <c r="L25" i="2" s="1"/>
  <c r="L26" i="2" s="1"/>
  <c r="N8" i="2"/>
  <c r="N9" i="2" s="1"/>
  <c r="M8" i="2"/>
  <c r="M9" i="2" s="1"/>
  <c r="L27" i="2" l="1"/>
  <c r="M10" i="2" s="1"/>
  <c r="M11" i="2" s="1"/>
  <c r="M12" i="2" s="1"/>
  <c r="M13" i="2" s="1"/>
  <c r="M25" i="2" s="1"/>
  <c r="M26" i="2" s="1"/>
  <c r="L21" i="2"/>
  <c r="L15" i="2"/>
  <c r="M21" i="2" l="1"/>
  <c r="M15" i="2"/>
  <c r="M27" i="2"/>
  <c r="N10" i="2"/>
  <c r="N11" i="2" l="1"/>
  <c r="N12" i="2" s="1"/>
  <c r="N13" i="2" s="1"/>
  <c r="N25" i="2" s="1"/>
  <c r="N26" i="2"/>
  <c r="O25" i="2"/>
  <c r="N15" i="2"/>
  <c r="N21" i="2"/>
  <c r="O13" i="2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N27" i="2"/>
  <c r="P25" i="2" l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Q19" i="2" l="1"/>
  <c r="Q20" i="2" s="1"/>
  <c r="Q21" i="2" s="1"/>
</calcChain>
</file>

<file path=xl/sharedStrings.xml><?xml version="1.0" encoding="utf-8"?>
<sst xmlns="http://schemas.openxmlformats.org/spreadsheetml/2006/main" count="54" uniqueCount="47">
  <si>
    <t>DUOL</t>
  </si>
  <si>
    <t>Price</t>
  </si>
  <si>
    <t>Shares</t>
  </si>
  <si>
    <t>MC</t>
  </si>
  <si>
    <t>Cash</t>
  </si>
  <si>
    <t>Debt</t>
  </si>
  <si>
    <t>EV</t>
  </si>
  <si>
    <t>DAU</t>
  </si>
  <si>
    <t>MAU</t>
  </si>
  <si>
    <t>Paid Subscribers</t>
  </si>
  <si>
    <t>Paid Subscriber Penetration</t>
  </si>
  <si>
    <t>Subscription Bookings</t>
  </si>
  <si>
    <t>Total Bookings</t>
  </si>
  <si>
    <t>notes:</t>
  </si>
  <si>
    <t>"we estimate that our full-year 2025 year-over-year growth for bookings and revenue at 26.2% to 28.1% and 30.1% to 32.2%, respectively"</t>
  </si>
  <si>
    <t>"we estimate that our Q1 2025 year-over-year growth for bookings and revenue at 30.8% to 32.4% and 33.6% to 35.4%, respectively"</t>
  </si>
  <si>
    <t>Revenue</t>
  </si>
  <si>
    <t>COGS</t>
  </si>
  <si>
    <t>Gross Profit</t>
  </si>
  <si>
    <t>OPEX</t>
  </si>
  <si>
    <t>R&amp;D</t>
  </si>
  <si>
    <t>S&amp;M</t>
  </si>
  <si>
    <t>G&amp;A</t>
  </si>
  <si>
    <t>Income from Operations</t>
  </si>
  <si>
    <t>Pretax Income</t>
  </si>
  <si>
    <t>Interest</t>
  </si>
  <si>
    <t>Tax</t>
  </si>
  <si>
    <t>Net Income</t>
  </si>
  <si>
    <t>Q124</t>
  </si>
  <si>
    <t>Q224</t>
  </si>
  <si>
    <t>Q324</t>
  </si>
  <si>
    <t>Q424</t>
  </si>
  <si>
    <t>Q125</t>
  </si>
  <si>
    <t>ROIC</t>
  </si>
  <si>
    <t>Maturity</t>
  </si>
  <si>
    <t>Discount</t>
  </si>
  <si>
    <t>NPV</t>
  </si>
  <si>
    <t>Diff</t>
  </si>
  <si>
    <t>Revenue Growth</t>
  </si>
  <si>
    <t>Gross Margin</t>
  </si>
  <si>
    <t>Tax Rate</t>
  </si>
  <si>
    <t>Net Margin</t>
  </si>
  <si>
    <t>Net Cash</t>
  </si>
  <si>
    <t>EPS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</si>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</sst>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36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E47E2D-D6BC-89FB-34E2-4E43E81BACB5}"/>
            </a:ext>
          </a:extLst>
        </xdr:cNvPr>
        <xdr:cNvCxnSpPr/>
      </xdr:nvCxnSpPr>
      <xdr:spPr>
        <a:xfrm>
          <a:off x="4114800" y="0"/>
          <a:ext cx="0" cy="4791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0</xdr:row>
      <xdr:rowOff>0</xdr:rowOff>
    </xdr:from>
    <xdr:to>
      <xdr:col>9</xdr:col>
      <xdr:colOff>9525</xdr:colOff>
      <xdr:row>36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7F6189D-184A-BFF5-DC46-BA5D2EB64A42}"/>
            </a:ext>
          </a:extLst>
        </xdr:cNvPr>
        <xdr:cNvCxnSpPr/>
      </xdr:nvCxnSpPr>
      <xdr:spPr>
        <a:xfrm>
          <a:off x="6562725" y="0"/>
          <a:ext cx="0" cy="4781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ADA9-D7E1-41F5-A7B4-36588FBDA735}">
  <dimension ref="A1:H8"/>
  <sheetViews>
    <sheetView zoomScale="175" zoomScaleNormal="175" workbookViewId="0">
      <selection activeCell="F5" sqref="F5"/>
    </sheetView>
  </sheetViews>
  <sheetFormatPr defaultRowHeight="14.25" x14ac:dyDescent="0.2"/>
  <cols>
    <col min="1" max="16384" width="9.140625" style="8"/>
  </cols>
  <sheetData>
    <row r="1" spans="1:8" ht="15" x14ac:dyDescent="0.25">
      <c r="A1" s="9" t="s">
        <v>0</v>
      </c>
    </row>
    <row r="2" spans="1:8" x14ac:dyDescent="0.2">
      <c r="B2" s="8" t="s">
        <v>13</v>
      </c>
      <c r="F2" s="8" t="s">
        <v>1</v>
      </c>
      <c r="G2" s="4">
        <v>293</v>
      </c>
    </row>
    <row r="3" spans="1:8" x14ac:dyDescent="0.2">
      <c r="B3" s="8" t="s">
        <v>14</v>
      </c>
      <c r="F3" s="8" t="s">
        <v>2</v>
      </c>
      <c r="G3" s="1">
        <v>44.9</v>
      </c>
      <c r="H3" s="8" t="s">
        <v>31</v>
      </c>
    </row>
    <row r="4" spans="1:8" x14ac:dyDescent="0.2">
      <c r="B4" s="8" t="s">
        <v>15</v>
      </c>
      <c r="F4" s="8" t="s">
        <v>3</v>
      </c>
      <c r="G4" s="1">
        <f>G3*G2</f>
        <v>13155.699999999999</v>
      </c>
    </row>
    <row r="5" spans="1:8" x14ac:dyDescent="0.2">
      <c r="F5" s="8" t="s">
        <v>4</v>
      </c>
      <c r="G5" s="1">
        <f>785.8+91.85</f>
        <v>877.65</v>
      </c>
      <c r="H5" s="8" t="s">
        <v>31</v>
      </c>
    </row>
    <row r="6" spans="1:8" x14ac:dyDescent="0.2">
      <c r="F6" s="8" t="s">
        <v>5</v>
      </c>
      <c r="G6" s="1">
        <v>54.6</v>
      </c>
      <c r="H6" s="8" t="s">
        <v>31</v>
      </c>
    </row>
    <row r="7" spans="1:8" x14ac:dyDescent="0.2">
      <c r="F7" s="8" t="s">
        <v>6</v>
      </c>
      <c r="G7" s="1">
        <f>G4+G6-G5</f>
        <v>12332.65</v>
      </c>
    </row>
    <row r="8" spans="1:8" x14ac:dyDescent="0.2">
      <c r="G8" s="8">
        <f>G2/Sheet2!I15</f>
        <v>143.63215529571025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7BC-376D-46D8-8E8D-6C2DD224EB2D}">
  <dimension ref="A1:EL43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Q16" sqref="Q16"/>
    </sheetView>
  </sheetViews>
  <sheetFormatPr defaultRowHeight="14.25" x14ac:dyDescent="0.2"/>
  <cols>
    <col min="1" max="1" width="25.140625" style="1" customWidth="1"/>
    <col min="2" max="16384" width="9.140625" style="1"/>
  </cols>
  <sheetData>
    <row r="1" spans="1:67" x14ac:dyDescent="0.2"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H1" s="2">
        <v>2023</v>
      </c>
      <c r="I1" s="2">
        <f>H1+1</f>
        <v>2024</v>
      </c>
      <c r="J1" s="2">
        <f t="shared" ref="J1:N1" si="0">I1+1</f>
        <v>2025</v>
      </c>
      <c r="K1" s="2">
        <f t="shared" si="0"/>
        <v>2026</v>
      </c>
      <c r="L1" s="2">
        <f t="shared" si="0"/>
        <v>2027</v>
      </c>
      <c r="M1" s="2">
        <f t="shared" si="0"/>
        <v>2028</v>
      </c>
      <c r="N1" s="2">
        <f t="shared" si="0"/>
        <v>2029</v>
      </c>
    </row>
    <row r="2" spans="1:67" ht="15" x14ac:dyDescent="0.25">
      <c r="A2" s="3" t="s">
        <v>16</v>
      </c>
      <c r="B2" s="3"/>
      <c r="C2" s="3"/>
      <c r="D2" s="3"/>
      <c r="E2" s="3"/>
      <c r="F2" s="3"/>
      <c r="G2" s="3"/>
      <c r="H2" s="3">
        <v>531.10900000000004</v>
      </c>
      <c r="I2" s="3">
        <v>748.024</v>
      </c>
      <c r="J2" s="3">
        <f>I2*1.31</f>
        <v>979.91144000000008</v>
      </c>
      <c r="K2" s="3">
        <f>J2*1.2</f>
        <v>1175.893728</v>
      </c>
      <c r="L2" s="3">
        <f t="shared" ref="L2:N2" si="1">K2*1.2</f>
        <v>1411.0724736</v>
      </c>
      <c r="M2" s="3">
        <f t="shared" si="1"/>
        <v>1693.2869683199999</v>
      </c>
      <c r="N2" s="3">
        <f t="shared" si="1"/>
        <v>2031.9443619839999</v>
      </c>
    </row>
    <row r="3" spans="1:67" x14ac:dyDescent="0.2">
      <c r="A3" s="1" t="s">
        <v>17</v>
      </c>
      <c r="H3" s="1">
        <v>142.10499999999999</v>
      </c>
      <c r="I3" s="1">
        <v>203.64500000000001</v>
      </c>
      <c r="J3" s="1">
        <f>J2*(1-J18)</f>
        <v>244.97786000000002</v>
      </c>
      <c r="K3" s="1">
        <f>K2*(1-K18)</f>
        <v>293.973432</v>
      </c>
      <c r="L3" s="1">
        <f>L2*(1-L18)</f>
        <v>296.32521945599996</v>
      </c>
      <c r="M3" s="1">
        <f>M2*(1-M18)</f>
        <v>355.59026334719994</v>
      </c>
      <c r="N3" s="1">
        <f>N2*(1-N18)</f>
        <v>426.70831601663991</v>
      </c>
    </row>
    <row r="4" spans="1:67" x14ac:dyDescent="0.2">
      <c r="A4" s="1" t="s">
        <v>18</v>
      </c>
      <c r="H4" s="1">
        <f>H2-H3</f>
        <v>389.00400000000002</v>
      </c>
      <c r="I4" s="1">
        <f>I2-I3</f>
        <v>544.37900000000002</v>
      </c>
      <c r="J4" s="1">
        <f t="shared" ref="J4:N4" si="2">J2-J3</f>
        <v>734.93358000000012</v>
      </c>
      <c r="K4" s="1">
        <f t="shared" si="2"/>
        <v>881.92029600000001</v>
      </c>
      <c r="L4" s="1">
        <f t="shared" si="2"/>
        <v>1114.747254144</v>
      </c>
      <c r="M4" s="1">
        <f t="shared" si="2"/>
        <v>1337.6967049728</v>
      </c>
      <c r="N4" s="1">
        <f t="shared" si="2"/>
        <v>1605.23604596736</v>
      </c>
    </row>
    <row r="5" spans="1:67" x14ac:dyDescent="0.2">
      <c r="A5" s="1" t="s">
        <v>20</v>
      </c>
      <c r="H5" s="1">
        <v>194.352</v>
      </c>
      <c r="I5" s="1">
        <v>235.3</v>
      </c>
      <c r="J5" s="1">
        <f>I5*(1+J17)</f>
        <v>308.24300000000005</v>
      </c>
      <c r="K5" s="1">
        <f t="shared" ref="K5:N5" si="3">J5*(1+K17)</f>
        <v>369.89160000000004</v>
      </c>
      <c r="L5" s="1">
        <f t="shared" si="3"/>
        <v>443.86992000000004</v>
      </c>
      <c r="M5" s="1">
        <f t="shared" si="3"/>
        <v>532.64390400000002</v>
      </c>
      <c r="N5" s="1">
        <f t="shared" si="3"/>
        <v>639.17268479999996</v>
      </c>
    </row>
    <row r="6" spans="1:67" x14ac:dyDescent="0.2">
      <c r="A6" s="1" t="s">
        <v>21</v>
      </c>
      <c r="H6" s="1">
        <v>75.787999999999997</v>
      </c>
      <c r="I6" s="1">
        <v>90.494</v>
      </c>
      <c r="J6" s="1">
        <f>I6*(1+J17)</f>
        <v>118.54714</v>
      </c>
      <c r="K6" s="1">
        <f t="shared" ref="K6:N6" si="4">J6*(1+K17)</f>
        <v>142.25656799999999</v>
      </c>
      <c r="L6" s="1">
        <f t="shared" si="4"/>
        <v>170.70788159999998</v>
      </c>
      <c r="M6" s="1">
        <f t="shared" si="4"/>
        <v>204.84945791999996</v>
      </c>
      <c r="N6" s="1">
        <f t="shared" si="4"/>
        <v>245.81934950399994</v>
      </c>
    </row>
    <row r="7" spans="1:67" x14ac:dyDescent="0.2">
      <c r="A7" s="1" t="s">
        <v>22</v>
      </c>
      <c r="H7" s="1">
        <v>132.12299999999999</v>
      </c>
      <c r="I7" s="1">
        <v>155.99199999999999</v>
      </c>
      <c r="J7" s="1">
        <f>I7*(1+J17)</f>
        <v>204.34951999999998</v>
      </c>
      <c r="K7" s="1">
        <f t="shared" ref="K7:N7" si="5">J7*(1+K17)</f>
        <v>245.21942399999998</v>
      </c>
      <c r="L7" s="1">
        <f t="shared" si="5"/>
        <v>294.26330879999995</v>
      </c>
      <c r="M7" s="1">
        <f t="shared" si="5"/>
        <v>353.11597055999994</v>
      </c>
      <c r="N7" s="1">
        <f t="shared" si="5"/>
        <v>423.7391646719999</v>
      </c>
    </row>
    <row r="8" spans="1:67" x14ac:dyDescent="0.2">
      <c r="A8" s="1" t="s">
        <v>19</v>
      </c>
      <c r="H8" s="1">
        <f>SUM(H5:H7)</f>
        <v>402.26299999999998</v>
      </c>
      <c r="I8" s="1">
        <f>SUM(I5:I7)</f>
        <v>481.78599999999994</v>
      </c>
      <c r="J8" s="1">
        <f t="shared" ref="J8:N8" si="6">SUM(J5:J7)</f>
        <v>631.13966000000005</v>
      </c>
      <c r="K8" s="1">
        <f t="shared" si="6"/>
        <v>757.36759200000006</v>
      </c>
      <c r="L8" s="1">
        <f t="shared" si="6"/>
        <v>908.84111039999993</v>
      </c>
      <c r="M8" s="1">
        <f t="shared" si="6"/>
        <v>1090.6093324799999</v>
      </c>
      <c r="N8" s="1">
        <f t="shared" si="6"/>
        <v>1308.7311989759996</v>
      </c>
    </row>
    <row r="9" spans="1:67" x14ac:dyDescent="0.2">
      <c r="A9" s="1" t="s">
        <v>23</v>
      </c>
      <c r="H9" s="1">
        <f>H4-H8</f>
        <v>-13.258999999999958</v>
      </c>
      <c r="I9" s="1">
        <f>I4-I8</f>
        <v>62.593000000000075</v>
      </c>
      <c r="J9" s="1">
        <f>J4-J8</f>
        <v>103.79392000000007</v>
      </c>
      <c r="K9" s="1">
        <f t="shared" ref="K9:N9" si="7">K4-K8</f>
        <v>124.55270399999995</v>
      </c>
      <c r="L9" s="1">
        <f t="shared" si="7"/>
        <v>205.90614374400002</v>
      </c>
      <c r="M9" s="1">
        <f t="shared" si="7"/>
        <v>247.08737249280011</v>
      </c>
      <c r="N9" s="1">
        <f t="shared" si="7"/>
        <v>296.50484699136041</v>
      </c>
    </row>
    <row r="10" spans="1:67" x14ac:dyDescent="0.2">
      <c r="A10" s="1" t="s">
        <v>25</v>
      </c>
      <c r="H10" s="1">
        <v>31.091000000000001</v>
      </c>
      <c r="I10" s="1">
        <v>42.7</v>
      </c>
      <c r="J10" s="1">
        <f>I27*$Q$16</f>
        <v>49.382999999999996</v>
      </c>
      <c r="K10" s="1">
        <f>J27*$Q$16</f>
        <v>57.103116767999992</v>
      </c>
      <c r="L10" s="1">
        <f>K27*$Q$16</f>
        <v>66.258570134707185</v>
      </c>
      <c r="M10" s="1">
        <f>L27*$Q$16</f>
        <v>79.975671714194036</v>
      </c>
      <c r="N10" s="1">
        <f>M27*$Q$16</f>
        <v>96.459649142226539</v>
      </c>
    </row>
    <row r="11" spans="1:67" x14ac:dyDescent="0.2">
      <c r="A11" s="1" t="s">
        <v>24</v>
      </c>
      <c r="H11" s="1">
        <f>H9+H10</f>
        <v>17.832000000000043</v>
      </c>
      <c r="I11" s="1">
        <f>I9+I10</f>
        <v>105.29300000000008</v>
      </c>
      <c r="J11" s="1">
        <f t="shared" ref="J11:N11" si="8">J9+J10</f>
        <v>153.17692000000005</v>
      </c>
      <c r="K11" s="1">
        <f t="shared" si="8"/>
        <v>181.65582076799996</v>
      </c>
      <c r="L11" s="1">
        <f t="shared" si="8"/>
        <v>272.16471387870718</v>
      </c>
      <c r="M11" s="1">
        <f t="shared" si="8"/>
        <v>327.06304420699416</v>
      </c>
      <c r="N11" s="1">
        <f t="shared" si="8"/>
        <v>392.96449613358698</v>
      </c>
    </row>
    <row r="12" spans="1:67" x14ac:dyDescent="0.2">
      <c r="A12" s="1" t="s">
        <v>26</v>
      </c>
      <c r="H12" s="1">
        <v>1.7</v>
      </c>
      <c r="I12" s="1">
        <v>13.7</v>
      </c>
      <c r="J12" s="1">
        <f>J20*J11</f>
        <v>24.508307200000008</v>
      </c>
      <c r="K12" s="1">
        <f>K20*K11</f>
        <v>29.064931322879993</v>
      </c>
      <c r="L12" s="1">
        <f>L20*L11</f>
        <v>43.546354220593152</v>
      </c>
      <c r="M12" s="1">
        <f>M20*M11</f>
        <v>52.330087073119067</v>
      </c>
      <c r="N12" s="1">
        <f>N20*N11</f>
        <v>62.874319381373915</v>
      </c>
    </row>
    <row r="13" spans="1:67" s="3" customFormat="1" ht="15" x14ac:dyDescent="0.25">
      <c r="A13" s="3" t="s">
        <v>27</v>
      </c>
      <c r="H13" s="3">
        <f>H11-H12</f>
        <v>16.132000000000044</v>
      </c>
      <c r="I13" s="3">
        <f>I11-I12</f>
        <v>91.593000000000075</v>
      </c>
      <c r="J13" s="3">
        <f>J11-J12</f>
        <v>128.66861280000003</v>
      </c>
      <c r="K13" s="3">
        <f t="shared" ref="K13:N13" si="9">K11-K12</f>
        <v>152.59088944511996</v>
      </c>
      <c r="L13" s="3">
        <f t="shared" si="9"/>
        <v>228.61835965811403</v>
      </c>
      <c r="M13" s="3">
        <f t="shared" si="9"/>
        <v>274.73295713387512</v>
      </c>
      <c r="N13" s="3">
        <f t="shared" si="9"/>
        <v>330.09017675221304</v>
      </c>
      <c r="O13" s="3">
        <f t="shared" ref="O13:AT13" si="10">N13*(1+$Q$17)</f>
        <v>333.39107851973517</v>
      </c>
      <c r="P13" s="3">
        <f t="shared" si="10"/>
        <v>336.72498930493254</v>
      </c>
      <c r="Q13" s="3">
        <f t="shared" si="10"/>
        <v>340.09223919798188</v>
      </c>
      <c r="R13" s="3">
        <f t="shared" si="10"/>
        <v>343.49316158996169</v>
      </c>
      <c r="S13" s="3">
        <f t="shared" si="10"/>
        <v>346.92809320586133</v>
      </c>
      <c r="T13" s="3">
        <f t="shared" si="10"/>
        <v>350.39737413791994</v>
      </c>
      <c r="U13" s="3">
        <f t="shared" si="10"/>
        <v>353.90134787929912</v>
      </c>
      <c r="V13" s="3">
        <f t="shared" si="10"/>
        <v>357.4403613580921</v>
      </c>
      <c r="W13" s="3">
        <f t="shared" si="10"/>
        <v>361.014764971673</v>
      </c>
      <c r="X13" s="3">
        <f t="shared" si="10"/>
        <v>364.62491262138974</v>
      </c>
      <c r="Y13" s="3">
        <f t="shared" si="10"/>
        <v>368.27116174760363</v>
      </c>
      <c r="Z13" s="3">
        <f t="shared" si="10"/>
        <v>371.95387336507969</v>
      </c>
      <c r="AA13" s="3">
        <f t="shared" si="10"/>
        <v>375.67341209873047</v>
      </c>
      <c r="AB13" s="3">
        <f t="shared" si="10"/>
        <v>379.43014621971776</v>
      </c>
      <c r="AC13" s="3">
        <f t="shared" si="10"/>
        <v>383.22444768191491</v>
      </c>
      <c r="AD13" s="3">
        <f t="shared" si="10"/>
        <v>387.05669215873405</v>
      </c>
      <c r="AE13" s="3">
        <f t="shared" si="10"/>
        <v>390.92725908032139</v>
      </c>
      <c r="AF13" s="3">
        <f t="shared" si="10"/>
        <v>394.83653167112459</v>
      </c>
      <c r="AG13" s="3">
        <f t="shared" si="10"/>
        <v>398.78489698783585</v>
      </c>
      <c r="AH13" s="3">
        <f t="shared" si="10"/>
        <v>402.77274595771422</v>
      </c>
      <c r="AI13" s="3">
        <f t="shared" si="10"/>
        <v>406.80047341729136</v>
      </c>
      <c r="AJ13" s="3">
        <f t="shared" si="10"/>
        <v>410.86847815146427</v>
      </c>
      <c r="AK13" s="3">
        <f t="shared" si="10"/>
        <v>414.9771629329789</v>
      </c>
      <c r="AL13" s="3">
        <f t="shared" si="10"/>
        <v>419.12693456230869</v>
      </c>
      <c r="AM13" s="3">
        <f t="shared" si="10"/>
        <v>423.31820390793177</v>
      </c>
      <c r="AN13" s="3">
        <f t="shared" si="10"/>
        <v>427.55138594701111</v>
      </c>
      <c r="AO13" s="3">
        <f t="shared" si="10"/>
        <v>431.82689980648121</v>
      </c>
      <c r="AP13" s="3">
        <f t="shared" si="10"/>
        <v>436.14516880454602</v>
      </c>
      <c r="AQ13" s="3">
        <f t="shared" si="10"/>
        <v>440.50662049259148</v>
      </c>
      <c r="AR13" s="3">
        <f t="shared" si="10"/>
        <v>444.91168669751738</v>
      </c>
      <c r="AS13" s="3">
        <f t="shared" si="10"/>
        <v>449.36080356449258</v>
      </c>
      <c r="AT13" s="3">
        <f t="shared" si="10"/>
        <v>453.8544116001375</v>
      </c>
      <c r="AU13" s="3">
        <f t="shared" ref="AU13:BO13" si="11">AT13*(1+$Q$17)</f>
        <v>458.39295571613889</v>
      </c>
      <c r="AV13" s="3">
        <f t="shared" si="11"/>
        <v>462.9768852733003</v>
      </c>
      <c r="AW13" s="3">
        <f t="shared" si="11"/>
        <v>467.60665412603328</v>
      </c>
      <c r="AX13" s="3">
        <f t="shared" si="11"/>
        <v>472.28272066729363</v>
      </c>
      <c r="AY13" s="3">
        <f t="shared" si="11"/>
        <v>477.00554787396658</v>
      </c>
      <c r="AZ13" s="3">
        <f t="shared" si="11"/>
        <v>481.77560335270624</v>
      </c>
      <c r="BA13" s="3">
        <f t="shared" si="11"/>
        <v>486.59335938623332</v>
      </c>
      <c r="BB13" s="3">
        <f t="shared" si="11"/>
        <v>491.45929298009565</v>
      </c>
      <c r="BC13" s="3">
        <f t="shared" si="11"/>
        <v>496.37388590989661</v>
      </c>
      <c r="BD13" s="3">
        <f t="shared" si="11"/>
        <v>501.33762476899557</v>
      </c>
      <c r="BE13" s="3">
        <f t="shared" si="11"/>
        <v>506.35100101668553</v>
      </c>
      <c r="BF13" s="3">
        <f t="shared" si="11"/>
        <v>511.41451102685238</v>
      </c>
      <c r="BG13" s="3">
        <f t="shared" si="11"/>
        <v>516.52865613712095</v>
      </c>
      <c r="BH13" s="3">
        <f t="shared" si="11"/>
        <v>521.69394269849215</v>
      </c>
      <c r="BI13" s="3">
        <f t="shared" si="11"/>
        <v>526.91088212547709</v>
      </c>
      <c r="BJ13" s="3">
        <f t="shared" si="11"/>
        <v>532.17999094673189</v>
      </c>
      <c r="BK13" s="3">
        <f t="shared" si="11"/>
        <v>537.50179085619925</v>
      </c>
      <c r="BL13" s="3">
        <f t="shared" si="11"/>
        <v>542.87680876476122</v>
      </c>
      <c r="BM13" s="3">
        <f t="shared" si="11"/>
        <v>548.30557685240888</v>
      </c>
      <c r="BN13" s="3">
        <f t="shared" si="11"/>
        <v>553.78863262093296</v>
      </c>
      <c r="BO13" s="3">
        <f t="shared" si="11"/>
        <v>559.32651894714229</v>
      </c>
    </row>
    <row r="14" spans="1:67" s="3" customFormat="1" ht="15" x14ac:dyDescent="0.25">
      <c r="A14" s="1" t="s">
        <v>2</v>
      </c>
      <c r="I14" s="1">
        <v>44.9</v>
      </c>
      <c r="J14" s="1">
        <v>44.9</v>
      </c>
      <c r="K14" s="1">
        <v>44.9</v>
      </c>
      <c r="L14" s="1">
        <v>44.9</v>
      </c>
      <c r="M14" s="1">
        <v>44.9</v>
      </c>
      <c r="N14" s="1">
        <v>44.9</v>
      </c>
    </row>
    <row r="15" spans="1:67" s="3" customFormat="1" ht="15" x14ac:dyDescent="0.25">
      <c r="A15" s="1" t="s">
        <v>43</v>
      </c>
      <c r="B15" s="1"/>
      <c r="C15" s="1"/>
      <c r="D15" s="1"/>
      <c r="E15" s="1"/>
      <c r="F15" s="1"/>
      <c r="G15" s="1"/>
      <c r="H15" s="1"/>
      <c r="I15" s="4">
        <f>I13/I14</f>
        <v>2.0399331848552356</v>
      </c>
      <c r="J15" s="4">
        <f t="shared" ref="J15:N15" si="12">J13/J14</f>
        <v>2.8656706636971054</v>
      </c>
      <c r="K15" s="4">
        <f t="shared" si="12"/>
        <v>3.398460789423607</v>
      </c>
      <c r="L15" s="4">
        <f t="shared" si="12"/>
        <v>5.091722932251983</v>
      </c>
      <c r="M15" s="4">
        <f t="shared" si="12"/>
        <v>6.1187741009771743</v>
      </c>
      <c r="N15" s="4">
        <f t="shared" si="12"/>
        <v>7.3516743151940549</v>
      </c>
    </row>
    <row r="16" spans="1:67" x14ac:dyDescent="0.2">
      <c r="P16" s="1" t="s">
        <v>33</v>
      </c>
      <c r="Q16" s="7">
        <v>0.06</v>
      </c>
    </row>
    <row r="17" spans="1:142" x14ac:dyDescent="0.2">
      <c r="A17" s="1" t="s">
        <v>38</v>
      </c>
      <c r="J17" s="5">
        <f>J2/I2-1</f>
        <v>0.31000000000000005</v>
      </c>
      <c r="K17" s="5">
        <f t="shared" ref="K17:N17" si="13">K2/J2-1</f>
        <v>0.19999999999999996</v>
      </c>
      <c r="L17" s="5">
        <f t="shared" si="13"/>
        <v>0.19999999999999996</v>
      </c>
      <c r="M17" s="5">
        <f t="shared" si="13"/>
        <v>0.19999999999999996</v>
      </c>
      <c r="N17" s="5">
        <f t="shared" si="13"/>
        <v>0.19999999999999996</v>
      </c>
      <c r="P17" s="1" t="s">
        <v>34</v>
      </c>
      <c r="Q17" s="7">
        <v>0.01</v>
      </c>
    </row>
    <row r="18" spans="1:142" ht="15" x14ac:dyDescent="0.25">
      <c r="A18" s="3" t="s">
        <v>39</v>
      </c>
      <c r="B18" s="3"/>
      <c r="C18" s="3"/>
      <c r="D18" s="3"/>
      <c r="E18" s="3"/>
      <c r="F18" s="3"/>
      <c r="G18" s="3"/>
      <c r="H18" s="6">
        <f>H4/H2</f>
        <v>0.7324372209847696</v>
      </c>
      <c r="I18" s="6">
        <f>I4/I2</f>
        <v>0.72775606130284587</v>
      </c>
      <c r="J18" s="6">
        <v>0.75</v>
      </c>
      <c r="K18" s="6">
        <v>0.75</v>
      </c>
      <c r="L18" s="6">
        <v>0.79</v>
      </c>
      <c r="M18" s="6">
        <v>0.79</v>
      </c>
      <c r="N18" s="6">
        <v>0.79</v>
      </c>
      <c r="P18" s="1" t="s">
        <v>35</v>
      </c>
      <c r="Q18" s="7">
        <v>0.1</v>
      </c>
    </row>
    <row r="19" spans="1:142" x14ac:dyDescent="0.2">
      <c r="P19" s="1" t="s">
        <v>36</v>
      </c>
      <c r="Q19" s="1">
        <f>NPV(Q18,J25:EL25)+Sheet1!G5-Sheet1!G6</f>
        <v>9803.7711351818416</v>
      </c>
    </row>
    <row r="20" spans="1:142" x14ac:dyDescent="0.2">
      <c r="A20" s="1" t="s">
        <v>40</v>
      </c>
      <c r="H20" s="5">
        <f>H12/H11</f>
        <v>9.5334230596679892E-2</v>
      </c>
      <c r="I20" s="5">
        <f>I12/I11</f>
        <v>0.13011311293248354</v>
      </c>
      <c r="J20" s="5">
        <v>0.16</v>
      </c>
      <c r="K20" s="5">
        <v>0.16</v>
      </c>
      <c r="L20" s="5">
        <v>0.16</v>
      </c>
      <c r="M20" s="5">
        <v>0.16</v>
      </c>
      <c r="N20" s="5">
        <v>0.16</v>
      </c>
      <c r="P20" s="1" t="s">
        <v>1</v>
      </c>
      <c r="Q20" s="4">
        <f>Q19/Sheet1!G3</f>
        <v>218.34679588378268</v>
      </c>
    </row>
    <row r="21" spans="1:142" x14ac:dyDescent="0.2">
      <c r="A21" s="1" t="s">
        <v>41</v>
      </c>
      <c r="H21" s="5">
        <f t="shared" ref="H21:N21" si="14">H13/H2</f>
        <v>3.0374179311591486E-2</v>
      </c>
      <c r="I21" s="5">
        <f t="shared" si="14"/>
        <v>0.12244660599125172</v>
      </c>
      <c r="J21" s="5">
        <f t="shared" si="14"/>
        <v>0.13130636866531534</v>
      </c>
      <c r="K21" s="5">
        <f t="shared" si="14"/>
        <v>0.12976588429011499</v>
      </c>
      <c r="L21" s="5">
        <f t="shared" si="14"/>
        <v>0.16201744696702305</v>
      </c>
      <c r="M21" s="5">
        <f t="shared" si="14"/>
        <v>0.16224831483020996</v>
      </c>
      <c r="N21" s="5">
        <f t="shared" si="14"/>
        <v>0.16245040116645293</v>
      </c>
      <c r="P21" s="1" t="s">
        <v>37</v>
      </c>
      <c r="Q21" s="5">
        <f>Q20/Sheet1!G2-1</f>
        <v>-0.25478909254681681</v>
      </c>
    </row>
    <row r="23" spans="1:142" x14ac:dyDescent="0.2">
      <c r="A23" s="1" t="s">
        <v>44</v>
      </c>
      <c r="G23" s="1">
        <v>53.655999999999999</v>
      </c>
      <c r="H23" s="1">
        <v>153.614</v>
      </c>
      <c r="I23" s="1">
        <v>285.51299999999998</v>
      </c>
      <c r="J23" s="1">
        <f>I23*(1+J17)</f>
        <v>374.02202999999997</v>
      </c>
      <c r="K23" s="1">
        <f t="shared" ref="K23:N23" si="15">J23*(1+K17)</f>
        <v>448.82643599999994</v>
      </c>
      <c r="L23" s="1">
        <f t="shared" si="15"/>
        <v>538.59172319999993</v>
      </c>
      <c r="M23" s="1">
        <f t="shared" si="15"/>
        <v>646.31006783999987</v>
      </c>
      <c r="N23" s="1">
        <f t="shared" si="15"/>
        <v>775.5720814079998</v>
      </c>
    </row>
    <row r="24" spans="1:142" x14ac:dyDescent="0.2">
      <c r="A24" s="1" t="s">
        <v>45</v>
      </c>
      <c r="G24" s="1">
        <v>10.124000000000001</v>
      </c>
      <c r="H24" s="1">
        <v>13.683999999999999</v>
      </c>
      <c r="I24" s="1">
        <v>21.14</v>
      </c>
      <c r="J24" s="1">
        <f>I24*(1+J17)</f>
        <v>27.6934</v>
      </c>
      <c r="K24" s="1">
        <f t="shared" ref="K24:N24" si="16">J24*(1+K17)</f>
        <v>33.232079999999996</v>
      </c>
      <c r="L24" s="1">
        <f t="shared" si="16"/>
        <v>39.878495999999991</v>
      </c>
      <c r="M24" s="1">
        <f t="shared" si="16"/>
        <v>47.854195199999985</v>
      </c>
      <c r="N24" s="1">
        <f t="shared" si="16"/>
        <v>57.425034239999981</v>
      </c>
    </row>
    <row r="25" spans="1:142" ht="15" x14ac:dyDescent="0.25">
      <c r="A25" s="3" t="s">
        <v>46</v>
      </c>
      <c r="G25" s="3">
        <f>G23-G24</f>
        <v>43.531999999999996</v>
      </c>
      <c r="H25" s="3">
        <f>H23-H24</f>
        <v>139.93</v>
      </c>
      <c r="I25" s="3">
        <f>I23-I24</f>
        <v>264.37299999999999</v>
      </c>
      <c r="J25" s="3">
        <f>J13*2.89</f>
        <v>371.85229099200012</v>
      </c>
      <c r="K25" s="3">
        <f t="shared" ref="K25:N25" si="17">K13*2.89</f>
        <v>440.98767049639667</v>
      </c>
      <c r="L25" s="3">
        <f t="shared" si="17"/>
        <v>660.70705941194956</v>
      </c>
      <c r="M25" s="3">
        <f t="shared" si="17"/>
        <v>793.97824611689907</v>
      </c>
      <c r="N25" s="3">
        <f t="shared" si="17"/>
        <v>953.96061081389576</v>
      </c>
      <c r="O25" s="3">
        <f>N25*(1+$Q$17)</f>
        <v>963.50021692203472</v>
      </c>
      <c r="P25" s="3">
        <f t="shared" ref="P25:CA25" si="18">O25*(1+$Q$17)</f>
        <v>973.13521909125507</v>
      </c>
      <c r="Q25" s="3">
        <f t="shared" si="18"/>
        <v>982.86657128216757</v>
      </c>
      <c r="R25" s="3">
        <f t="shared" si="18"/>
        <v>992.69523699498927</v>
      </c>
      <c r="S25" s="3">
        <f t="shared" si="18"/>
        <v>1002.6221893649391</v>
      </c>
      <c r="T25" s="3">
        <f t="shared" si="18"/>
        <v>1012.6484112585886</v>
      </c>
      <c r="U25" s="3">
        <f t="shared" si="18"/>
        <v>1022.7748953711745</v>
      </c>
      <c r="V25" s="3">
        <f t="shared" si="18"/>
        <v>1033.0026443248862</v>
      </c>
      <c r="W25" s="3">
        <f t="shared" si="18"/>
        <v>1043.3326707681351</v>
      </c>
      <c r="X25" s="3">
        <f t="shared" si="18"/>
        <v>1053.7659974758164</v>
      </c>
      <c r="Y25" s="3">
        <f t="shared" si="18"/>
        <v>1064.3036574505745</v>
      </c>
      <c r="Z25" s="3">
        <f t="shared" si="18"/>
        <v>1074.9466940250802</v>
      </c>
      <c r="AA25" s="3">
        <f t="shared" si="18"/>
        <v>1085.696160965331</v>
      </c>
      <c r="AB25" s="3">
        <f t="shared" si="18"/>
        <v>1096.5531225749844</v>
      </c>
      <c r="AC25" s="3">
        <f t="shared" si="18"/>
        <v>1107.5186538007342</v>
      </c>
      <c r="AD25" s="3">
        <f t="shared" si="18"/>
        <v>1118.5938403387415</v>
      </c>
      <c r="AE25" s="3">
        <f t="shared" si="18"/>
        <v>1129.7797787421289</v>
      </c>
      <c r="AF25" s="3">
        <f t="shared" si="18"/>
        <v>1141.0775765295502</v>
      </c>
      <c r="AG25" s="3">
        <f t="shared" si="18"/>
        <v>1152.4883522948458</v>
      </c>
      <c r="AH25" s="3">
        <f t="shared" si="18"/>
        <v>1164.0132358177941</v>
      </c>
      <c r="AI25" s="3">
        <f t="shared" si="18"/>
        <v>1175.653368175972</v>
      </c>
      <c r="AJ25" s="3">
        <f t="shared" si="18"/>
        <v>1187.4099018577317</v>
      </c>
      <c r="AK25" s="3">
        <f t="shared" si="18"/>
        <v>1199.2840008763089</v>
      </c>
      <c r="AL25" s="3">
        <f t="shared" si="18"/>
        <v>1211.276840885072</v>
      </c>
      <c r="AM25" s="3">
        <f t="shared" si="18"/>
        <v>1223.3896092939228</v>
      </c>
      <c r="AN25" s="3">
        <f t="shared" si="18"/>
        <v>1235.623505386862</v>
      </c>
      <c r="AO25" s="3">
        <f t="shared" si="18"/>
        <v>1247.9797404407307</v>
      </c>
      <c r="AP25" s="3">
        <f t="shared" si="18"/>
        <v>1260.4595378451379</v>
      </c>
      <c r="AQ25" s="3">
        <f t="shared" si="18"/>
        <v>1273.0641332235894</v>
      </c>
      <c r="AR25" s="3">
        <f t="shared" si="18"/>
        <v>1285.7947745558251</v>
      </c>
      <c r="AS25" s="3">
        <f t="shared" si="18"/>
        <v>1298.6527223013834</v>
      </c>
      <c r="AT25" s="3">
        <f t="shared" si="18"/>
        <v>1311.6392495243972</v>
      </c>
      <c r="AU25" s="3">
        <f t="shared" si="18"/>
        <v>1324.7556420196411</v>
      </c>
      <c r="AV25" s="3">
        <f t="shared" si="18"/>
        <v>1338.0031984398374</v>
      </c>
      <c r="AW25" s="3">
        <f t="shared" si="18"/>
        <v>1351.3832304242358</v>
      </c>
      <c r="AX25" s="3">
        <f t="shared" si="18"/>
        <v>1364.8970627284782</v>
      </c>
      <c r="AY25" s="3">
        <f t="shared" si="18"/>
        <v>1378.546033355763</v>
      </c>
      <c r="AZ25" s="3">
        <f t="shared" si="18"/>
        <v>1392.3314936893207</v>
      </c>
      <c r="BA25" s="3">
        <f t="shared" si="18"/>
        <v>1406.2548086262138</v>
      </c>
      <c r="BB25" s="3">
        <f t="shared" si="18"/>
        <v>1420.3173567124759</v>
      </c>
      <c r="BC25" s="3">
        <f t="shared" si="18"/>
        <v>1434.5205302796007</v>
      </c>
      <c r="BD25" s="3">
        <f t="shared" si="18"/>
        <v>1448.8657355823968</v>
      </c>
      <c r="BE25" s="3">
        <f t="shared" si="18"/>
        <v>1463.3543929382208</v>
      </c>
      <c r="BF25" s="3">
        <f t="shared" si="18"/>
        <v>1477.9879368676031</v>
      </c>
      <c r="BG25" s="3">
        <f t="shared" si="18"/>
        <v>1492.7678162362793</v>
      </c>
      <c r="BH25" s="3">
        <f t="shared" si="18"/>
        <v>1507.695494398642</v>
      </c>
      <c r="BI25" s="3">
        <f t="shared" si="18"/>
        <v>1522.7724493426285</v>
      </c>
      <c r="BJ25" s="3">
        <f t="shared" si="18"/>
        <v>1538.0001738360547</v>
      </c>
      <c r="BK25" s="3">
        <f t="shared" si="18"/>
        <v>1553.3801755744153</v>
      </c>
      <c r="BL25" s="3">
        <f t="shared" si="18"/>
        <v>1568.9139773301595</v>
      </c>
      <c r="BM25" s="3">
        <f t="shared" si="18"/>
        <v>1584.603117103461</v>
      </c>
      <c r="BN25" s="3">
        <f t="shared" si="18"/>
        <v>1600.4491482744957</v>
      </c>
      <c r="BO25" s="3">
        <f t="shared" si="18"/>
        <v>1616.4536397572406</v>
      </c>
      <c r="BP25" s="3">
        <f t="shared" si="18"/>
        <v>1632.618176154813</v>
      </c>
      <c r="BQ25" s="3">
        <f t="shared" si="18"/>
        <v>1648.9443579163612</v>
      </c>
      <c r="BR25" s="3">
        <f t="shared" si="18"/>
        <v>1665.4338014955249</v>
      </c>
      <c r="BS25" s="3">
        <f t="shared" si="18"/>
        <v>1682.0881395104802</v>
      </c>
      <c r="BT25" s="3">
        <f t="shared" si="18"/>
        <v>1698.9090209055851</v>
      </c>
      <c r="BU25" s="3">
        <f t="shared" si="18"/>
        <v>1715.8981111146409</v>
      </c>
      <c r="BV25" s="3">
        <f t="shared" si="18"/>
        <v>1733.0570922257873</v>
      </c>
      <c r="BW25" s="3">
        <f t="shared" si="18"/>
        <v>1750.3876631480452</v>
      </c>
      <c r="BX25" s="3">
        <f t="shared" si="18"/>
        <v>1767.8915397795258</v>
      </c>
      <c r="BY25" s="3">
        <f t="shared" si="18"/>
        <v>1785.570455177321</v>
      </c>
      <c r="BZ25" s="3">
        <f t="shared" si="18"/>
        <v>1803.4261597290943</v>
      </c>
      <c r="CA25" s="3">
        <f t="shared" si="18"/>
        <v>1821.4604213263851</v>
      </c>
      <c r="CB25" s="3">
        <f t="shared" ref="CB25:EL25" si="19">CA25*(1+$Q$17)</f>
        <v>1839.6750255396489</v>
      </c>
      <c r="CC25" s="3">
        <f t="shared" si="19"/>
        <v>1858.0717757950454</v>
      </c>
      <c r="CD25" s="3">
        <f t="shared" si="19"/>
        <v>1876.6524935529958</v>
      </c>
      <c r="CE25" s="3">
        <f t="shared" si="19"/>
        <v>1895.4190184885258</v>
      </c>
      <c r="CF25" s="3">
        <f t="shared" si="19"/>
        <v>1914.373208673411</v>
      </c>
      <c r="CG25" s="3">
        <f t="shared" si="19"/>
        <v>1933.5169407601452</v>
      </c>
      <c r="CH25" s="3">
        <f t="shared" si="19"/>
        <v>1952.8521101677466</v>
      </c>
      <c r="CI25" s="3">
        <f t="shared" si="19"/>
        <v>1972.3806312694239</v>
      </c>
      <c r="CJ25" s="3">
        <f t="shared" si="19"/>
        <v>1992.1044375821182</v>
      </c>
      <c r="CK25" s="3">
        <f t="shared" si="19"/>
        <v>2012.0254819579393</v>
      </c>
      <c r="CL25" s="3">
        <f t="shared" si="19"/>
        <v>2032.1457367775188</v>
      </c>
      <c r="CM25" s="3">
        <f t="shared" si="19"/>
        <v>2052.4671941452939</v>
      </c>
      <c r="CN25" s="3">
        <f t="shared" si="19"/>
        <v>2072.991866086747</v>
      </c>
      <c r="CO25" s="3">
        <f t="shared" si="19"/>
        <v>2093.7217847476145</v>
      </c>
      <c r="CP25" s="3">
        <f t="shared" si="19"/>
        <v>2114.6590025950904</v>
      </c>
      <c r="CQ25" s="3">
        <f t="shared" si="19"/>
        <v>2135.8055926210413</v>
      </c>
      <c r="CR25" s="3">
        <f t="shared" si="19"/>
        <v>2157.1636485472518</v>
      </c>
      <c r="CS25" s="3">
        <f t="shared" si="19"/>
        <v>2178.7352850327243</v>
      </c>
      <c r="CT25" s="3">
        <f t="shared" si="19"/>
        <v>2200.5226378830516</v>
      </c>
      <c r="CU25" s="3">
        <f t="shared" si="19"/>
        <v>2222.5278642618823</v>
      </c>
      <c r="CV25" s="3">
        <f t="shared" si="19"/>
        <v>2244.7531429045011</v>
      </c>
      <c r="CW25" s="3">
        <f t="shared" si="19"/>
        <v>2267.200674333546</v>
      </c>
      <c r="CX25" s="3">
        <f t="shared" si="19"/>
        <v>2289.8726810768812</v>
      </c>
      <c r="CY25" s="3">
        <f t="shared" si="19"/>
        <v>2312.7714078876502</v>
      </c>
      <c r="CZ25" s="3">
        <f t="shared" si="19"/>
        <v>2335.8991219665268</v>
      </c>
      <c r="DA25" s="3">
        <f t="shared" si="19"/>
        <v>2359.2581131861921</v>
      </c>
      <c r="DB25" s="3">
        <f t="shared" si="19"/>
        <v>2382.8506943180541</v>
      </c>
      <c r="DC25" s="3">
        <f t="shared" si="19"/>
        <v>2406.6792012612345</v>
      </c>
      <c r="DD25" s="3">
        <f t="shared" si="19"/>
        <v>2430.745993273847</v>
      </c>
      <c r="DE25" s="3">
        <f t="shared" si="19"/>
        <v>2455.0534532065853</v>
      </c>
      <c r="DF25" s="3">
        <f t="shared" si="19"/>
        <v>2479.6039877386511</v>
      </c>
      <c r="DG25" s="3">
        <f t="shared" si="19"/>
        <v>2504.4000276160377</v>
      </c>
      <c r="DH25" s="3">
        <f t="shared" si="19"/>
        <v>2529.4440278921979</v>
      </c>
      <c r="DI25" s="3">
        <f t="shared" si="19"/>
        <v>2554.7384681711201</v>
      </c>
      <c r="DJ25" s="3">
        <f t="shared" si="19"/>
        <v>2580.2858528528313</v>
      </c>
      <c r="DK25" s="3">
        <f t="shared" si="19"/>
        <v>2606.0887113813596</v>
      </c>
      <c r="DL25" s="3">
        <f t="shared" si="19"/>
        <v>2632.1495984951734</v>
      </c>
      <c r="DM25" s="3">
        <f t="shared" si="19"/>
        <v>2658.4710944801254</v>
      </c>
      <c r="DN25" s="3">
        <f t="shared" si="19"/>
        <v>2685.0558054249268</v>
      </c>
      <c r="DO25" s="3">
        <f t="shared" si="19"/>
        <v>2711.906363479176</v>
      </c>
      <c r="DP25" s="3">
        <f t="shared" si="19"/>
        <v>2739.0254271139679</v>
      </c>
      <c r="DQ25" s="3">
        <f t="shared" si="19"/>
        <v>2766.4156813851077</v>
      </c>
      <c r="DR25" s="3">
        <f t="shared" si="19"/>
        <v>2794.0798381989589</v>
      </c>
      <c r="DS25" s="3">
        <f t="shared" si="19"/>
        <v>2822.0206365809486</v>
      </c>
      <c r="DT25" s="3">
        <f t="shared" si="19"/>
        <v>2850.2408429467582</v>
      </c>
      <c r="DU25" s="3">
        <f t="shared" si="19"/>
        <v>2878.743251376226</v>
      </c>
      <c r="DV25" s="3">
        <f t="shared" si="19"/>
        <v>2907.5306838899883</v>
      </c>
      <c r="DW25" s="3">
        <f t="shared" si="19"/>
        <v>2936.6059907288882</v>
      </c>
      <c r="DX25" s="3">
        <f t="shared" si="19"/>
        <v>2965.9720506361773</v>
      </c>
      <c r="DY25" s="3">
        <f t="shared" si="19"/>
        <v>2995.631771142539</v>
      </c>
      <c r="DZ25" s="3">
        <f t="shared" si="19"/>
        <v>3025.5880888539646</v>
      </c>
      <c r="EA25" s="3">
        <f t="shared" si="19"/>
        <v>3055.8439697425042</v>
      </c>
      <c r="EB25" s="3">
        <f t="shared" si="19"/>
        <v>3086.4024094399292</v>
      </c>
      <c r="EC25" s="3">
        <f t="shared" si="19"/>
        <v>3117.2664335343284</v>
      </c>
      <c r="ED25" s="3">
        <f t="shared" si="19"/>
        <v>3148.4390978696715</v>
      </c>
      <c r="EE25" s="3">
        <f t="shared" si="19"/>
        <v>3179.9234888483684</v>
      </c>
      <c r="EF25" s="3">
        <f t="shared" si="19"/>
        <v>3211.722723736852</v>
      </c>
      <c r="EG25" s="3">
        <f t="shared" si="19"/>
        <v>3243.8399509742208</v>
      </c>
      <c r="EH25" s="3">
        <f t="shared" si="19"/>
        <v>3276.2783504839631</v>
      </c>
      <c r="EI25" s="3">
        <f t="shared" si="19"/>
        <v>3309.0411339888028</v>
      </c>
      <c r="EJ25" s="3">
        <f t="shared" si="19"/>
        <v>3342.1315453286907</v>
      </c>
      <c r="EK25" s="3">
        <f t="shared" si="19"/>
        <v>3375.5528607819774</v>
      </c>
      <c r="EL25" s="3">
        <f t="shared" si="19"/>
        <v>3409.3083893897974</v>
      </c>
    </row>
    <row r="26" spans="1:142" x14ac:dyDescent="0.2">
      <c r="G26" s="5" t="e">
        <f>G25/G13</f>
        <v>#DIV/0!</v>
      </c>
      <c r="H26" s="5">
        <f>H25/H13</f>
        <v>8.6740639722290869</v>
      </c>
      <c r="I26" s="5">
        <f>I25/I13</f>
        <v>2.8863886978262507</v>
      </c>
      <c r="J26" s="5">
        <f>J25/J13</f>
        <v>2.89</v>
      </c>
      <c r="K26" s="5">
        <f t="shared" ref="K26:N26" si="20">K25/K13</f>
        <v>2.89</v>
      </c>
      <c r="L26" s="5">
        <f t="shared" si="20"/>
        <v>2.89</v>
      </c>
      <c r="M26" s="5">
        <f t="shared" si="20"/>
        <v>2.89</v>
      </c>
      <c r="N26" s="5">
        <f t="shared" si="20"/>
        <v>2.89</v>
      </c>
    </row>
    <row r="27" spans="1:142" x14ac:dyDescent="0.2">
      <c r="A27" s="1" t="s">
        <v>42</v>
      </c>
      <c r="I27" s="1">
        <f>I29-I31</f>
        <v>823.05</v>
      </c>
      <c r="J27" s="1">
        <f>I27+J13</f>
        <v>951.71861279999996</v>
      </c>
      <c r="K27" s="1">
        <f>J27+K13</f>
        <v>1104.3095022451198</v>
      </c>
      <c r="L27" s="1">
        <f>K27+L13</f>
        <v>1332.9278619032339</v>
      </c>
      <c r="M27" s="1">
        <f>L27+M13</f>
        <v>1607.6608190371089</v>
      </c>
      <c r="N27" s="1">
        <f>M27+N13</f>
        <v>1937.7509957893219</v>
      </c>
    </row>
    <row r="29" spans="1:142" x14ac:dyDescent="0.2">
      <c r="A29" s="1" t="s">
        <v>4</v>
      </c>
      <c r="I29" s="1">
        <f>785.8+91.85</f>
        <v>877.65</v>
      </c>
    </row>
    <row r="31" spans="1:142" x14ac:dyDescent="0.2">
      <c r="A31" s="1" t="s">
        <v>5</v>
      </c>
      <c r="I31" s="1">
        <v>54.6</v>
      </c>
    </row>
    <row r="33" spans="1:15" x14ac:dyDescent="0.2">
      <c r="A33" s="1" t="s">
        <v>7</v>
      </c>
      <c r="I33" s="1">
        <v>40</v>
      </c>
    </row>
    <row r="34" spans="1:15" x14ac:dyDescent="0.2">
      <c r="A34" s="1" t="s">
        <v>8</v>
      </c>
      <c r="I34" s="1">
        <v>100</v>
      </c>
    </row>
    <row r="35" spans="1:15" x14ac:dyDescent="0.2">
      <c r="A35" s="1" t="s">
        <v>9</v>
      </c>
    </row>
    <row r="36" spans="1:15" x14ac:dyDescent="0.2">
      <c r="A36" s="1" t="s">
        <v>10</v>
      </c>
    </row>
    <row r="37" spans="1:15" x14ac:dyDescent="0.2">
      <c r="A37" s="1" t="s">
        <v>11</v>
      </c>
    </row>
    <row r="38" spans="1:15" x14ac:dyDescent="0.2">
      <c r="A38" s="1" t="s">
        <v>12</v>
      </c>
    </row>
    <row r="42" spans="1:15" x14ac:dyDescent="0.2">
      <c r="O42" s="5"/>
    </row>
    <row r="43" spans="1:15" x14ac:dyDescent="0.2">
      <c r="O4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2025-03-16T18:35:37Z</dcterms:created>
  <dcterms:modified xsi:type="dcterms:W3CDTF">2025-05-29T22:30:50Z</dcterms:modified>
</cp:coreProperties>
</file>