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FF905E79-7300-4E75-96A9-06C056D2D7E1}" xr6:coauthVersionLast="47" xr6:coauthVersionMax="47" xr10:uidLastSave="{00000000-0000-0000-0000-000000000000}"/>
  <bookViews>
    <workbookView xWindow="6045" yWindow="780" windowWidth="17745" windowHeight="14595" xr2:uid="{09F161B0-F89E-4C8B-8031-C3ED112ACB2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G5" i="2" s="1"/>
  <c r="H5" i="2" s="1"/>
  <c r="I5" i="2" s="1"/>
  <c r="F26" i="2"/>
  <c r="G26" i="2" s="1"/>
  <c r="H26" i="2" s="1"/>
  <c r="I26" i="2" s="1"/>
  <c r="E26" i="2"/>
  <c r="C26" i="2"/>
  <c r="D26" i="2"/>
  <c r="B26" i="2"/>
  <c r="C30" i="2"/>
  <c r="D30" i="2"/>
  <c r="B30" i="2"/>
  <c r="E14" i="2"/>
  <c r="D32" i="2"/>
  <c r="D36" i="2"/>
  <c r="D34" i="2"/>
  <c r="C25" i="2"/>
  <c r="D25" i="2"/>
  <c r="B25" i="2"/>
  <c r="C24" i="2"/>
  <c r="D24" i="2"/>
  <c r="B24" i="2"/>
  <c r="D22" i="2"/>
  <c r="C22" i="2"/>
  <c r="B22" i="2"/>
  <c r="D21" i="2"/>
  <c r="C21" i="2"/>
  <c r="D1" i="2"/>
  <c r="E1" i="2"/>
  <c r="F1" i="2"/>
  <c r="G1" i="2"/>
  <c r="H1" i="2"/>
  <c r="I1" i="2"/>
  <c r="C1" i="2"/>
  <c r="C11" i="2"/>
  <c r="D11" i="2"/>
  <c r="B11" i="2"/>
  <c r="C5" i="2"/>
  <c r="C7" i="2" s="1"/>
  <c r="D5" i="2"/>
  <c r="D7" i="2"/>
  <c r="B5" i="2"/>
  <c r="B7" i="2" s="1"/>
  <c r="B12" i="2" s="1"/>
  <c r="B15" i="2" s="1"/>
  <c r="B17" i="2" s="1"/>
  <c r="B19" i="2" s="1"/>
  <c r="D7" i="1"/>
  <c r="D6" i="1"/>
  <c r="D5" i="1"/>
  <c r="D4" i="1"/>
  <c r="E30" i="2" l="1"/>
  <c r="E6" i="2"/>
  <c r="E7" i="2" s="1"/>
  <c r="F21" i="2"/>
  <c r="F6" i="2"/>
  <c r="F7" i="2" s="1"/>
  <c r="E21" i="2"/>
  <c r="E11" i="2" s="1"/>
  <c r="F11" i="2" s="1"/>
  <c r="D12" i="2"/>
  <c r="D15" i="2" s="1"/>
  <c r="D17" i="2" s="1"/>
  <c r="D19" i="2" s="1"/>
  <c r="C12" i="2"/>
  <c r="C15" i="2" s="1"/>
  <c r="C17" i="2" s="1"/>
  <c r="C19" i="2" s="1"/>
  <c r="F30" i="2" l="1"/>
  <c r="F12" i="2"/>
  <c r="F25" i="2" s="1"/>
  <c r="E12" i="2"/>
  <c r="G21" i="2"/>
  <c r="G11" i="2" s="1"/>
  <c r="G6" i="2"/>
  <c r="G7" i="2" s="1"/>
  <c r="G30" i="2" l="1"/>
  <c r="G12" i="2"/>
  <c r="E25" i="2"/>
  <c r="E15" i="2"/>
  <c r="H21" i="2"/>
  <c r="H11" i="2" s="1"/>
  <c r="H6" i="2"/>
  <c r="H7" i="2" s="1"/>
  <c r="H12" i="2" l="1"/>
  <c r="H25" i="2" s="1"/>
  <c r="I30" i="2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BP30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CG30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X30" i="2" s="1"/>
  <c r="CY30" i="2" s="1"/>
  <c r="CZ30" i="2" s="1"/>
  <c r="DA30" i="2" s="1"/>
  <c r="DB30" i="2" s="1"/>
  <c r="DC30" i="2" s="1"/>
  <c r="DD30" i="2" s="1"/>
  <c r="DE30" i="2" s="1"/>
  <c r="DF30" i="2" s="1"/>
  <c r="H30" i="2"/>
  <c r="I21" i="2"/>
  <c r="I11" i="2" s="1"/>
  <c r="I6" i="2"/>
  <c r="I7" i="2"/>
  <c r="E16" i="2"/>
  <c r="E17" i="2" s="1"/>
  <c r="G25" i="2"/>
  <c r="L22" i="2" l="1"/>
  <c r="E19" i="2"/>
  <c r="E32" i="2"/>
  <c r="I12" i="2"/>
  <c r="F14" i="2" l="1"/>
  <c r="F15" i="2" s="1"/>
  <c r="F16" i="2" s="1"/>
  <c r="F17" i="2" s="1"/>
  <c r="F19" i="2" s="1"/>
  <c r="I25" i="2"/>
  <c r="F32" i="2" l="1"/>
  <c r="G14" i="2" s="1"/>
  <c r="G15" i="2" s="1"/>
  <c r="G16" i="2" s="1"/>
  <c r="G17" i="2" s="1"/>
  <c r="G19" i="2" s="1"/>
  <c r="G32" i="2" l="1"/>
  <c r="H14" i="2"/>
  <c r="H15" i="2" s="1"/>
  <c r="H16" i="2" l="1"/>
  <c r="H17" i="2" s="1"/>
  <c r="H19" i="2" l="1"/>
  <c r="H32" i="2"/>
  <c r="I14" i="2" l="1"/>
  <c r="I15" i="2" s="1"/>
  <c r="I16" i="2" s="1"/>
  <c r="I17" i="2" s="1"/>
  <c r="I19" i="2" l="1"/>
  <c r="J17" i="2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I32" i="2"/>
  <c r="L23" i="2" l="1"/>
  <c r="L24" i="2" s="1"/>
</calcChain>
</file>

<file path=xl/sharedStrings.xml><?xml version="1.0" encoding="utf-8"?>
<sst xmlns="http://schemas.openxmlformats.org/spreadsheetml/2006/main" count="45" uniqueCount="39">
  <si>
    <t>HALO</t>
  </si>
  <si>
    <t>Price</t>
  </si>
  <si>
    <t>Shares</t>
  </si>
  <si>
    <t>MC</t>
  </si>
  <si>
    <t>Cash</t>
  </si>
  <si>
    <t>Debt</t>
  </si>
  <si>
    <t>EV</t>
  </si>
  <si>
    <t>Royalties</t>
  </si>
  <si>
    <t>Product Sales</t>
  </si>
  <si>
    <t>Collaborative Agreements</t>
  </si>
  <si>
    <t>Revenue</t>
  </si>
  <si>
    <t>COGS</t>
  </si>
  <si>
    <t>Gross Profit</t>
  </si>
  <si>
    <t>Amort</t>
  </si>
  <si>
    <t>R&amp;D</t>
  </si>
  <si>
    <t>SG&amp;A</t>
  </si>
  <si>
    <t>OPEX</t>
  </si>
  <si>
    <t>Operating Income</t>
  </si>
  <si>
    <t>Investment &amp; Other</t>
  </si>
  <si>
    <t>Interest</t>
  </si>
  <si>
    <t>Pretax Income</t>
  </si>
  <si>
    <t>Tax</t>
  </si>
  <si>
    <t>Net Income</t>
  </si>
  <si>
    <t>EPS</t>
  </si>
  <si>
    <t>Revenue Growth</t>
  </si>
  <si>
    <t>Tax Rate</t>
  </si>
  <si>
    <t>Gross Margin</t>
  </si>
  <si>
    <t>Operating Margin</t>
  </si>
  <si>
    <t>FCF Margin</t>
  </si>
  <si>
    <t>CFFO</t>
  </si>
  <si>
    <t>CX</t>
  </si>
  <si>
    <t>FCF</t>
  </si>
  <si>
    <t>Net Cash</t>
  </si>
  <si>
    <t>ROIC</t>
  </si>
  <si>
    <t>Maturity</t>
  </si>
  <si>
    <t>Discount</t>
  </si>
  <si>
    <t>NPV</t>
  </si>
  <si>
    <t>Diff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</si>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</sst>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3" fontId="2" fillId="0" borderId="0" xfId="0" applyNumberFormat="1" applyFont="1"/>
    <xf numFmtId="4" fontId="1" fillId="0" borderId="0" xfId="0" applyNumberFormat="1" applyFont="1"/>
    <xf numFmtId="10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888AE-3565-48BC-80C7-C570B89CEA73}">
  <dimension ref="A1:E7"/>
  <sheetViews>
    <sheetView tabSelected="1" zoomScale="209" workbookViewId="0">
      <selection activeCell="E5" sqref="E5"/>
    </sheetView>
  </sheetViews>
  <sheetFormatPr defaultRowHeight="14.25" x14ac:dyDescent="0.2"/>
  <cols>
    <col min="1" max="16384" width="9.140625" style="9"/>
  </cols>
  <sheetData>
    <row r="1" spans="1:5" ht="15" x14ac:dyDescent="0.25">
      <c r="A1" s="8" t="s">
        <v>0</v>
      </c>
    </row>
    <row r="2" spans="1:5" x14ac:dyDescent="0.2">
      <c r="C2" s="9" t="s">
        <v>1</v>
      </c>
      <c r="D2" s="4">
        <v>61.2</v>
      </c>
    </row>
    <row r="3" spans="1:5" x14ac:dyDescent="0.2">
      <c r="C3" s="9" t="s">
        <v>2</v>
      </c>
      <c r="D3" s="1">
        <v>123.15300000000001</v>
      </c>
      <c r="E3" s="9" t="s">
        <v>38</v>
      </c>
    </row>
    <row r="4" spans="1:5" x14ac:dyDescent="0.2">
      <c r="C4" s="9" t="s">
        <v>3</v>
      </c>
      <c r="D4" s="1">
        <f>D3*D2</f>
        <v>7536.963600000001</v>
      </c>
    </row>
    <row r="5" spans="1:5" x14ac:dyDescent="0.2">
      <c r="C5" s="9" t="s">
        <v>4</v>
      </c>
      <c r="D5" s="1">
        <f>115.85+480.224</f>
        <v>596.07399999999996</v>
      </c>
      <c r="E5" s="9" t="s">
        <v>38</v>
      </c>
    </row>
    <row r="6" spans="1:5" x14ac:dyDescent="0.2">
      <c r="C6" s="9" t="s">
        <v>5</v>
      </c>
      <c r="D6" s="1">
        <f>54.758+1505.8</f>
        <v>1560.558</v>
      </c>
      <c r="E6" s="9" t="s">
        <v>38</v>
      </c>
    </row>
    <row r="7" spans="1:5" x14ac:dyDescent="0.2">
      <c r="C7" s="9" t="s">
        <v>6</v>
      </c>
      <c r="D7" s="1">
        <f>D4+D6-D5</f>
        <v>8501.4475999999995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8F40A-20B8-41C3-ABE1-B9840C2BF50D}">
  <dimension ref="A1:DF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0" sqref="A18:I20"/>
    </sheetView>
  </sheetViews>
  <sheetFormatPr defaultColWidth="8.85546875" defaultRowHeight="14.25" x14ac:dyDescent="0.2"/>
  <cols>
    <col min="1" max="1" width="21.140625" style="1" customWidth="1"/>
    <col min="2" max="16384" width="8.85546875" style="1"/>
  </cols>
  <sheetData>
    <row r="1" spans="1:9" x14ac:dyDescent="0.2">
      <c r="B1" s="2">
        <v>2022</v>
      </c>
      <c r="C1" s="2">
        <f>B1+1</f>
        <v>2023</v>
      </c>
      <c r="D1" s="2">
        <f t="shared" ref="D1:I1" si="0">C1+1</f>
        <v>2024</v>
      </c>
      <c r="E1" s="2">
        <f t="shared" si="0"/>
        <v>2025</v>
      </c>
      <c r="F1" s="2">
        <f t="shared" si="0"/>
        <v>2026</v>
      </c>
      <c r="G1" s="2">
        <f t="shared" si="0"/>
        <v>2027</v>
      </c>
      <c r="H1" s="2">
        <f t="shared" si="0"/>
        <v>2028</v>
      </c>
      <c r="I1" s="2">
        <f t="shared" si="0"/>
        <v>2029</v>
      </c>
    </row>
    <row r="2" spans="1:9" x14ac:dyDescent="0.2">
      <c r="A2" s="1" t="s">
        <v>7</v>
      </c>
      <c r="B2" s="1">
        <v>360.5</v>
      </c>
      <c r="C2" s="1">
        <v>447.87</v>
      </c>
      <c r="D2" s="1">
        <v>570.99</v>
      </c>
      <c r="E2" s="1">
        <v>740</v>
      </c>
    </row>
    <row r="3" spans="1:9" x14ac:dyDescent="0.2">
      <c r="A3" s="1" t="s">
        <v>8</v>
      </c>
      <c r="B3" s="1">
        <v>191.03</v>
      </c>
      <c r="C3" s="1">
        <v>300.85000000000002</v>
      </c>
      <c r="D3" s="1">
        <v>303.49200000000002</v>
      </c>
    </row>
    <row r="4" spans="1:9" x14ac:dyDescent="0.2">
      <c r="A4" s="1" t="s">
        <v>9</v>
      </c>
      <c r="B4" s="1">
        <v>108.61</v>
      </c>
      <c r="C4" s="1">
        <v>80.5</v>
      </c>
      <c r="D4" s="1">
        <v>140.84</v>
      </c>
    </row>
    <row r="5" spans="1:9" s="3" customFormat="1" ht="15" x14ac:dyDescent="0.25">
      <c r="A5" s="3" t="s">
        <v>10</v>
      </c>
      <c r="B5" s="3">
        <f>SUM(B2:B4)</f>
        <v>660.14</v>
      </c>
      <c r="C5" s="3">
        <f t="shared" ref="C5:D5" si="1">SUM(C2:C4)</f>
        <v>829.22</v>
      </c>
      <c r="D5" s="3">
        <f t="shared" si="1"/>
        <v>1015.322</v>
      </c>
      <c r="E5" s="3">
        <v>1200</v>
      </c>
      <c r="F5" s="3">
        <f>E5*1.12</f>
        <v>1344.0000000000002</v>
      </c>
      <c r="G5" s="3">
        <f>F5*1.09</f>
        <v>1464.9600000000003</v>
      </c>
      <c r="H5" s="3">
        <f>G5*1.07</f>
        <v>1567.5072000000005</v>
      </c>
      <c r="I5" s="3">
        <f>H5*1.07</f>
        <v>1677.2327040000007</v>
      </c>
    </row>
    <row r="6" spans="1:9" x14ac:dyDescent="0.2">
      <c r="A6" s="1" t="s">
        <v>11</v>
      </c>
      <c r="B6" s="1">
        <v>139.30000000000001</v>
      </c>
      <c r="C6" s="1">
        <v>192.4</v>
      </c>
      <c r="D6" s="1">
        <v>159.4</v>
      </c>
      <c r="E6" s="1">
        <f>E5*(1-E24)</f>
        <v>192.00000000000003</v>
      </c>
      <c r="F6" s="1">
        <f t="shared" ref="F6:I6" si="2">F5*(1-F24)</f>
        <v>268.8</v>
      </c>
      <c r="G6" s="1">
        <f t="shared" si="2"/>
        <v>292.99199999999996</v>
      </c>
      <c r="H6" s="1">
        <f t="shared" si="2"/>
        <v>313.50144</v>
      </c>
      <c r="I6" s="1">
        <f t="shared" si="2"/>
        <v>335.44654080000004</v>
      </c>
    </row>
    <row r="7" spans="1:9" x14ac:dyDescent="0.2">
      <c r="A7" s="1" t="s">
        <v>12</v>
      </c>
      <c r="B7" s="1">
        <f>B5-B6</f>
        <v>520.83999999999992</v>
      </c>
      <c r="C7" s="1">
        <f t="shared" ref="C7:D7" si="3">C5-C6</f>
        <v>636.82000000000005</v>
      </c>
      <c r="D7" s="1">
        <f t="shared" si="3"/>
        <v>855.92200000000003</v>
      </c>
      <c r="E7" s="1">
        <f t="shared" ref="E7" si="4">E5-E6</f>
        <v>1008</v>
      </c>
      <c r="F7" s="1">
        <f t="shared" ref="F7" si="5">F5-F6</f>
        <v>1075.2000000000003</v>
      </c>
      <c r="G7" s="1">
        <f t="shared" ref="G7" si="6">G5-G6</f>
        <v>1171.9680000000003</v>
      </c>
      <c r="H7" s="1">
        <f t="shared" ref="H7" si="7">H5-H6</f>
        <v>1254.0057600000005</v>
      </c>
      <c r="I7" s="1">
        <f t="shared" ref="I7" si="8">I5-I6</f>
        <v>1341.7861632000006</v>
      </c>
    </row>
    <row r="8" spans="1:9" x14ac:dyDescent="0.2">
      <c r="A8" s="1" t="s">
        <v>13</v>
      </c>
      <c r="B8" s="1">
        <v>43.14</v>
      </c>
      <c r="C8" s="1">
        <v>73.8</v>
      </c>
      <c r="D8" s="1">
        <v>71.05</v>
      </c>
    </row>
    <row r="9" spans="1:9" x14ac:dyDescent="0.2">
      <c r="A9" s="1" t="s">
        <v>14</v>
      </c>
      <c r="B9" s="1">
        <v>66.599999999999994</v>
      </c>
      <c r="C9" s="1">
        <v>76.400000000000006</v>
      </c>
      <c r="D9" s="1">
        <v>79.099999999999994</v>
      </c>
    </row>
    <row r="10" spans="1:9" x14ac:dyDescent="0.2">
      <c r="A10" s="1" t="s">
        <v>15</v>
      </c>
      <c r="B10" s="1">
        <v>143.5</v>
      </c>
      <c r="C10" s="1">
        <v>149.1</v>
      </c>
      <c r="D10" s="1">
        <v>154.30000000000001</v>
      </c>
    </row>
    <row r="11" spans="1:9" x14ac:dyDescent="0.2">
      <c r="A11" s="1" t="s">
        <v>16</v>
      </c>
      <c r="B11" s="1">
        <f>SUM(B8:B10)</f>
        <v>253.24</v>
      </c>
      <c r="C11" s="1">
        <f t="shared" ref="C11:D11" si="9">SUM(C8:C10)</f>
        <v>299.29999999999995</v>
      </c>
      <c r="D11" s="1">
        <f t="shared" si="9"/>
        <v>304.45</v>
      </c>
      <c r="E11" s="1">
        <f>D11*(1+E21-0.1)</f>
        <v>329.38173476985622</v>
      </c>
      <c r="F11" s="1">
        <f t="shared" ref="F11:I11" si="10">E11*(1+F21-0.1)</f>
        <v>335.96936946525335</v>
      </c>
      <c r="G11" s="1">
        <f t="shared" si="10"/>
        <v>332.60967577060086</v>
      </c>
      <c r="H11" s="1">
        <f t="shared" si="10"/>
        <v>322.63138549748288</v>
      </c>
      <c r="I11" s="1">
        <f t="shared" si="10"/>
        <v>312.95244393255842</v>
      </c>
    </row>
    <row r="12" spans="1:9" x14ac:dyDescent="0.2">
      <c r="A12" s="1" t="s">
        <v>17</v>
      </c>
      <c r="B12" s="1">
        <f>B7-B11</f>
        <v>267.59999999999991</v>
      </c>
      <c r="C12" s="1">
        <f t="shared" ref="C12:D12" si="11">C7-C11</f>
        <v>337.5200000000001</v>
      </c>
      <c r="D12" s="1">
        <f t="shared" si="11"/>
        <v>551.47199999999998</v>
      </c>
      <c r="E12" s="1">
        <f t="shared" ref="E12" si="12">E7-E11</f>
        <v>678.61826523014383</v>
      </c>
      <c r="F12" s="1">
        <f t="shared" ref="F12" si="13">F7-F11</f>
        <v>739.23063053474698</v>
      </c>
      <c r="G12" s="1">
        <f t="shared" ref="G12" si="14">G7-G11</f>
        <v>839.35832422939939</v>
      </c>
      <c r="H12" s="1">
        <f t="shared" ref="H12" si="15">H7-H11</f>
        <v>931.37437450251764</v>
      </c>
      <c r="I12" s="1">
        <f t="shared" ref="I12" si="16">I7-I11</f>
        <v>1028.8337192674421</v>
      </c>
    </row>
    <row r="13" spans="1:9" x14ac:dyDescent="0.2">
      <c r="A13" s="1" t="s">
        <v>18</v>
      </c>
      <c r="B13" s="1">
        <v>1.05</v>
      </c>
      <c r="C13" s="1">
        <v>16.32</v>
      </c>
      <c r="D13" s="1">
        <v>23.75</v>
      </c>
    </row>
    <row r="14" spans="1:9" x14ac:dyDescent="0.2">
      <c r="A14" s="1" t="s">
        <v>19</v>
      </c>
      <c r="B14" s="1">
        <v>-17</v>
      </c>
      <c r="C14" s="1">
        <v>-19</v>
      </c>
      <c r="D14" s="1">
        <v>-18.100000000000001</v>
      </c>
      <c r="E14" s="1">
        <f>D32*$L$19</f>
        <v>-38.579360000000001</v>
      </c>
      <c r="F14" s="1">
        <f>E32*$L$19</f>
        <v>-18.354130594727454</v>
      </c>
      <c r="G14" s="1">
        <f>F32*$L$19</f>
        <v>4.4255668033771647</v>
      </c>
      <c r="H14" s="1">
        <f>G32*$L$19</f>
        <v>31.089137760012907</v>
      </c>
      <c r="I14" s="1">
        <f>H32*$L$19</f>
        <v>61.502984747508876</v>
      </c>
    </row>
    <row r="15" spans="1:9" x14ac:dyDescent="0.2">
      <c r="A15" s="1" t="s">
        <v>20</v>
      </c>
      <c r="B15" s="1">
        <f>B12+SUM(B13:B14)</f>
        <v>251.64999999999992</v>
      </c>
      <c r="C15" s="1">
        <f t="shared" ref="C15:D15" si="17">C12+SUM(C13:C14)</f>
        <v>334.84000000000009</v>
      </c>
      <c r="D15" s="1">
        <f t="shared" si="17"/>
        <v>557.12199999999996</v>
      </c>
      <c r="E15" s="1">
        <f t="shared" ref="E15" si="18">E12+SUM(E13:E14)</f>
        <v>640.03890523014388</v>
      </c>
      <c r="F15" s="1">
        <f t="shared" ref="F15" si="19">F12+SUM(F13:F14)</f>
        <v>720.87649994001947</v>
      </c>
      <c r="G15" s="1">
        <f t="shared" ref="G15" si="20">G12+SUM(G13:G14)</f>
        <v>843.78389103277652</v>
      </c>
      <c r="H15" s="1">
        <f t="shared" ref="H15" si="21">H12+SUM(H13:H14)</f>
        <v>962.46351226253057</v>
      </c>
      <c r="I15" s="1">
        <f t="shared" ref="I15" si="22">I12+SUM(I13:I14)</f>
        <v>1090.336704014951</v>
      </c>
    </row>
    <row r="16" spans="1:9" x14ac:dyDescent="0.2">
      <c r="A16" s="1" t="s">
        <v>21</v>
      </c>
      <c r="B16" s="1">
        <v>46.8</v>
      </c>
      <c r="C16" s="1">
        <v>66.7</v>
      </c>
      <c r="D16" s="1">
        <v>113.041</v>
      </c>
      <c r="E16" s="1">
        <f>E15*E22</f>
        <v>134.4081700983302</v>
      </c>
      <c r="F16" s="1">
        <f t="shared" ref="F16:I16" si="23">F15*F22</f>
        <v>151.38406498740409</v>
      </c>
      <c r="G16" s="1">
        <f t="shared" si="23"/>
        <v>177.19461711688305</v>
      </c>
      <c r="H16" s="1">
        <f t="shared" si="23"/>
        <v>202.11733757513142</v>
      </c>
      <c r="I16" s="1">
        <f t="shared" si="23"/>
        <v>228.97070784313971</v>
      </c>
    </row>
    <row r="17" spans="1:110" s="3" customFormat="1" ht="15" x14ac:dyDescent="0.25">
      <c r="A17" s="3" t="s">
        <v>22</v>
      </c>
      <c r="B17" s="3">
        <f>B15-B16</f>
        <v>204.84999999999991</v>
      </c>
      <c r="C17" s="3">
        <f t="shared" ref="C17:D17" si="24">C15-C16</f>
        <v>268.1400000000001</v>
      </c>
      <c r="D17" s="3">
        <f t="shared" si="24"/>
        <v>444.08099999999996</v>
      </c>
      <c r="E17" s="3">
        <f t="shared" ref="E17" si="25">E15-E16</f>
        <v>505.63073513181371</v>
      </c>
      <c r="F17" s="3">
        <f t="shared" ref="F17" si="26">F15-F16</f>
        <v>569.49243495261544</v>
      </c>
      <c r="G17" s="3">
        <f t="shared" ref="G17" si="27">G15-G16</f>
        <v>666.5892739158935</v>
      </c>
      <c r="H17" s="3">
        <f t="shared" ref="H17" si="28">H15-H16</f>
        <v>760.34617468739918</v>
      </c>
      <c r="I17" s="3">
        <f t="shared" ref="I17" si="29">I15-I16</f>
        <v>861.36599617181128</v>
      </c>
      <c r="J17" s="3">
        <f t="shared" ref="J17:AO17" si="30">I17*(1+$L$20)</f>
        <v>835.52501628665686</v>
      </c>
      <c r="K17" s="3">
        <f t="shared" si="30"/>
        <v>810.45926579805712</v>
      </c>
      <c r="L17" s="3">
        <f t="shared" si="30"/>
        <v>786.14548782411543</v>
      </c>
      <c r="M17" s="3">
        <f t="shared" si="30"/>
        <v>762.56112318939199</v>
      </c>
      <c r="N17" s="3">
        <f t="shared" si="30"/>
        <v>739.68428949371025</v>
      </c>
      <c r="O17" s="3">
        <f t="shared" si="30"/>
        <v>717.49376080889897</v>
      </c>
      <c r="P17" s="3">
        <f t="shared" si="30"/>
        <v>695.968947984632</v>
      </c>
      <c r="Q17" s="3">
        <f t="shared" si="30"/>
        <v>675.08987954509303</v>
      </c>
      <c r="R17" s="3">
        <f t="shared" si="30"/>
        <v>654.83718315874023</v>
      </c>
      <c r="S17" s="3">
        <f t="shared" si="30"/>
        <v>635.19206766397804</v>
      </c>
      <c r="T17" s="3">
        <f t="shared" si="30"/>
        <v>616.13630563405866</v>
      </c>
      <c r="U17" s="3">
        <f t="shared" si="30"/>
        <v>597.65221646503687</v>
      </c>
      <c r="V17" s="3">
        <f t="shared" si="30"/>
        <v>579.72264997108573</v>
      </c>
      <c r="W17" s="3">
        <f t="shared" si="30"/>
        <v>562.33097047195315</v>
      </c>
      <c r="X17" s="3">
        <f t="shared" si="30"/>
        <v>545.46104135779456</v>
      </c>
      <c r="Y17" s="3">
        <f t="shared" si="30"/>
        <v>529.09721011706074</v>
      </c>
      <c r="Z17" s="3">
        <f t="shared" si="30"/>
        <v>513.22429381354891</v>
      </c>
      <c r="AA17" s="3">
        <f t="shared" si="30"/>
        <v>497.82756499914245</v>
      </c>
      <c r="AB17" s="3">
        <f t="shared" si="30"/>
        <v>482.89273804916814</v>
      </c>
      <c r="AC17" s="3">
        <f t="shared" si="30"/>
        <v>468.40595590769311</v>
      </c>
      <c r="AD17" s="3">
        <f t="shared" si="30"/>
        <v>454.3537772304623</v>
      </c>
      <c r="AE17" s="3">
        <f t="shared" si="30"/>
        <v>440.72316391354843</v>
      </c>
      <c r="AF17" s="3">
        <f t="shared" si="30"/>
        <v>427.50146899614197</v>
      </c>
      <c r="AG17" s="3">
        <f t="shared" si="30"/>
        <v>414.67642492625771</v>
      </c>
      <c r="AH17" s="3">
        <f t="shared" si="30"/>
        <v>402.23613217846997</v>
      </c>
      <c r="AI17" s="3">
        <f t="shared" si="30"/>
        <v>390.16904821311584</v>
      </c>
      <c r="AJ17" s="3">
        <f t="shared" si="30"/>
        <v>378.46397676672234</v>
      </c>
      <c r="AK17" s="3">
        <f t="shared" si="30"/>
        <v>367.11005746372064</v>
      </c>
      <c r="AL17" s="3">
        <f t="shared" si="30"/>
        <v>356.096755739809</v>
      </c>
      <c r="AM17" s="3">
        <f t="shared" si="30"/>
        <v>345.4138530676147</v>
      </c>
      <c r="AN17" s="3">
        <f t="shared" si="30"/>
        <v>335.05143747558623</v>
      </c>
      <c r="AO17" s="3">
        <f t="shared" si="30"/>
        <v>324.99989435131863</v>
      </c>
      <c r="AP17" s="3">
        <f t="shared" ref="AP17:BU17" si="31">AO17*(1+$L$20)</f>
        <v>315.24989752077909</v>
      </c>
      <c r="AQ17" s="3">
        <f t="shared" si="31"/>
        <v>305.7924005951557</v>
      </c>
      <c r="AR17" s="3">
        <f t="shared" si="31"/>
        <v>296.61862857730102</v>
      </c>
      <c r="AS17" s="3">
        <f t="shared" si="31"/>
        <v>287.72006971998201</v>
      </c>
      <c r="AT17" s="3">
        <f t="shared" si="31"/>
        <v>279.08846762838255</v>
      </c>
      <c r="AU17" s="3">
        <f t="shared" si="31"/>
        <v>270.71581359953109</v>
      </c>
      <c r="AV17" s="3">
        <f t="shared" si="31"/>
        <v>262.59433919154515</v>
      </c>
      <c r="AW17" s="3">
        <f t="shared" si="31"/>
        <v>254.71650901579878</v>
      </c>
      <c r="AX17" s="3">
        <f t="shared" si="31"/>
        <v>247.07501374532481</v>
      </c>
      <c r="AY17" s="3">
        <f t="shared" si="31"/>
        <v>239.66276333296506</v>
      </c>
      <c r="AZ17" s="3">
        <f t="shared" si="31"/>
        <v>232.4728804329761</v>
      </c>
      <c r="BA17" s="3">
        <f t="shared" si="31"/>
        <v>225.4986940199868</v>
      </c>
      <c r="BB17" s="3">
        <f t="shared" si="31"/>
        <v>218.73373319938719</v>
      </c>
      <c r="BC17" s="3">
        <f t="shared" si="31"/>
        <v>212.17172120340555</v>
      </c>
      <c r="BD17" s="3">
        <f t="shared" si="31"/>
        <v>205.80656956730337</v>
      </c>
      <c r="BE17" s="3">
        <f t="shared" si="31"/>
        <v>199.63237248028426</v>
      </c>
      <c r="BF17" s="3">
        <f t="shared" si="31"/>
        <v>193.64340130587573</v>
      </c>
      <c r="BG17" s="3">
        <f t="shared" si="31"/>
        <v>187.83409926669944</v>
      </c>
      <c r="BH17" s="3">
        <f t="shared" si="31"/>
        <v>182.19907628869845</v>
      </c>
      <c r="BI17" s="3">
        <f t="shared" si="31"/>
        <v>176.73310400003749</v>
      </c>
      <c r="BJ17" s="3">
        <f t="shared" si="31"/>
        <v>171.43111088003636</v>
      </c>
      <c r="BK17" s="3">
        <f t="shared" si="31"/>
        <v>166.28817755363525</v>
      </c>
      <c r="BL17" s="3">
        <f t="shared" si="31"/>
        <v>161.29953222702619</v>
      </c>
      <c r="BM17" s="3">
        <f t="shared" si="31"/>
        <v>156.46054626021541</v>
      </c>
      <c r="BN17" s="3">
        <f t="shared" si="31"/>
        <v>151.76672987240894</v>
      </c>
      <c r="BO17" s="3">
        <f t="shared" si="31"/>
        <v>147.21372797623667</v>
      </c>
      <c r="BP17" s="3">
        <f t="shared" si="31"/>
        <v>142.79731613694958</v>
      </c>
      <c r="BQ17" s="3">
        <f t="shared" si="31"/>
        <v>138.5133966528411</v>
      </c>
      <c r="BR17" s="3">
        <f t="shared" si="31"/>
        <v>134.35799475325587</v>
      </c>
      <c r="BS17" s="3">
        <f t="shared" si="31"/>
        <v>130.32725491065818</v>
      </c>
      <c r="BT17" s="3">
        <f t="shared" si="31"/>
        <v>126.41743726333843</v>
      </c>
      <c r="BU17" s="3">
        <f t="shared" si="31"/>
        <v>122.62491414543827</v>
      </c>
      <c r="BV17" s="3">
        <f t="shared" ref="BV17:DE17" si="32">BU17*(1+$L$20)</f>
        <v>118.94616672107512</v>
      </c>
      <c r="BW17" s="3">
        <f t="shared" si="32"/>
        <v>115.37778171944286</v>
      </c>
      <c r="BX17" s="3">
        <f t="shared" si="32"/>
        <v>111.91644826785958</v>
      </c>
      <c r="BY17" s="3">
        <f t="shared" si="32"/>
        <v>108.55895481982378</v>
      </c>
      <c r="BZ17" s="3">
        <f t="shared" si="32"/>
        <v>105.30218617522907</v>
      </c>
      <c r="CA17" s="3">
        <f t="shared" si="32"/>
        <v>102.1431205899722</v>
      </c>
      <c r="CB17" s="3">
        <f t="shared" si="32"/>
        <v>99.078826972273035</v>
      </c>
      <c r="CC17" s="3">
        <f t="shared" si="32"/>
        <v>96.106462163104837</v>
      </c>
      <c r="CD17" s="3">
        <f t="shared" si="32"/>
        <v>93.223268298211693</v>
      </c>
      <c r="CE17" s="3">
        <f t="shared" si="32"/>
        <v>90.426570249265339</v>
      </c>
      <c r="CF17" s="3">
        <f t="shared" si="32"/>
        <v>87.713773141787371</v>
      </c>
      <c r="CG17" s="3">
        <f t="shared" si="32"/>
        <v>85.082359947533746</v>
      </c>
      <c r="CH17" s="3">
        <f t="shared" si="32"/>
        <v>82.529889149107731</v>
      </c>
      <c r="CI17" s="3">
        <f t="shared" si="32"/>
        <v>80.053992474634498</v>
      </c>
      <c r="CJ17" s="3">
        <f t="shared" si="32"/>
        <v>77.65237270039546</v>
      </c>
      <c r="CK17" s="3">
        <f t="shared" si="32"/>
        <v>75.322801519383589</v>
      </c>
      <c r="CL17" s="3">
        <f t="shared" si="32"/>
        <v>73.06311747380208</v>
      </c>
      <c r="CM17" s="3">
        <f t="shared" si="32"/>
        <v>70.871223949588014</v>
      </c>
      <c r="CN17" s="3">
        <f t="shared" si="32"/>
        <v>68.745087231100371</v>
      </c>
      <c r="CO17" s="3">
        <f t="shared" si="32"/>
        <v>66.682734614167359</v>
      </c>
      <c r="CP17" s="3">
        <f t="shared" si="32"/>
        <v>64.682252575742339</v>
      </c>
      <c r="CQ17" s="3">
        <f t="shared" si="32"/>
        <v>62.741784998470067</v>
      </c>
      <c r="CR17" s="3">
        <f t="shared" si="32"/>
        <v>60.859531448515966</v>
      </c>
      <c r="CS17" s="3">
        <f t="shared" si="32"/>
        <v>59.033745505060487</v>
      </c>
      <c r="CT17" s="3">
        <f t="shared" si="32"/>
        <v>57.262733139908669</v>
      </c>
      <c r="CU17" s="3">
        <f t="shared" si="32"/>
        <v>55.544851145711405</v>
      </c>
      <c r="CV17" s="3">
        <f t="shared" si="32"/>
        <v>53.87850561134006</v>
      </c>
      <c r="CW17" s="3">
        <f t="shared" si="32"/>
        <v>52.262150442999854</v>
      </c>
      <c r="CX17" s="3">
        <f t="shared" si="32"/>
        <v>50.694285929709856</v>
      </c>
      <c r="CY17" s="3">
        <f t="shared" si="32"/>
        <v>49.173457351818563</v>
      </c>
      <c r="CZ17" s="3">
        <f t="shared" si="32"/>
        <v>47.698253631264002</v>
      </c>
      <c r="DA17" s="3">
        <f t="shared" si="32"/>
        <v>46.267306022326082</v>
      </c>
      <c r="DB17" s="3">
        <f t="shared" si="32"/>
        <v>44.879286841656295</v>
      </c>
      <c r="DC17" s="3">
        <f t="shared" si="32"/>
        <v>43.532908236406605</v>
      </c>
      <c r="DD17" s="3">
        <f t="shared" si="32"/>
        <v>42.226920989314408</v>
      </c>
      <c r="DE17" s="3">
        <f t="shared" si="32"/>
        <v>40.960113359634974</v>
      </c>
    </row>
    <row r="18" spans="1:110" x14ac:dyDescent="0.2">
      <c r="A18" s="1" t="s">
        <v>2</v>
      </c>
      <c r="B18" s="1">
        <v>140.6</v>
      </c>
      <c r="C18" s="1">
        <v>134.19999999999999</v>
      </c>
      <c r="D18" s="1">
        <v>129.4</v>
      </c>
      <c r="E18" s="1">
        <v>129.4</v>
      </c>
      <c r="F18" s="1">
        <v>129.4</v>
      </c>
      <c r="G18" s="1">
        <v>129.4</v>
      </c>
      <c r="H18" s="1">
        <v>129.4</v>
      </c>
      <c r="I18" s="1">
        <v>129.4</v>
      </c>
    </row>
    <row r="19" spans="1:110" x14ac:dyDescent="0.2">
      <c r="A19" s="1" t="s">
        <v>23</v>
      </c>
      <c r="B19" s="4">
        <f>B17/B18</f>
        <v>1.4569701280227589</v>
      </c>
      <c r="C19" s="4">
        <f t="shared" ref="C19:D19" si="33">C17/C18</f>
        <v>1.9980625931445612</v>
      </c>
      <c r="D19" s="4">
        <f t="shared" si="33"/>
        <v>3.4318469860896439</v>
      </c>
      <c r="E19" s="4">
        <f t="shared" ref="E19" si="34">E17/E18</f>
        <v>3.9075018170928413</v>
      </c>
      <c r="F19" s="4">
        <f t="shared" ref="F19" si="35">F17/F18</f>
        <v>4.4010234540387589</v>
      </c>
      <c r="G19" s="4">
        <f t="shared" ref="G19" si="36">G17/G18</f>
        <v>5.1513854243886668</v>
      </c>
      <c r="H19" s="4">
        <f t="shared" ref="H19" si="37">H17/H18</f>
        <v>5.8759364349876284</v>
      </c>
      <c r="I19" s="4">
        <f t="shared" ref="I19" si="38">I17/I18</f>
        <v>6.656615117247382</v>
      </c>
      <c r="K19" s="1" t="s">
        <v>33</v>
      </c>
      <c r="L19" s="5">
        <v>0.04</v>
      </c>
    </row>
    <row r="20" spans="1:110" x14ac:dyDescent="0.2">
      <c r="K20" s="1" t="s">
        <v>34</v>
      </c>
      <c r="L20" s="5">
        <v>-0.03</v>
      </c>
    </row>
    <row r="21" spans="1:110" s="3" customFormat="1" ht="15" x14ac:dyDescent="0.25">
      <c r="A21" s="3" t="s">
        <v>24</v>
      </c>
      <c r="C21" s="6">
        <f>C5/B5-1</f>
        <v>0.2561274881085831</v>
      </c>
      <c r="D21" s="6">
        <f>D5/C5-1</f>
        <v>0.22443018740503118</v>
      </c>
      <c r="E21" s="6">
        <f t="shared" ref="E21:I21" si="39">E5/D5-1</f>
        <v>0.18189106510052966</v>
      </c>
      <c r="F21" s="6">
        <f t="shared" si="39"/>
        <v>0.12000000000000011</v>
      </c>
      <c r="G21" s="6">
        <f t="shared" si="39"/>
        <v>9.000000000000008E-2</v>
      </c>
      <c r="H21" s="6">
        <f t="shared" si="39"/>
        <v>7.0000000000000062E-2</v>
      </c>
      <c r="I21" s="6">
        <f t="shared" si="39"/>
        <v>7.0000000000000062E-2</v>
      </c>
      <c r="K21" s="1" t="s">
        <v>35</v>
      </c>
      <c r="L21" s="5">
        <v>0.09</v>
      </c>
    </row>
    <row r="22" spans="1:110" ht="15" x14ac:dyDescent="0.25">
      <c r="A22" s="1" t="s">
        <v>25</v>
      </c>
      <c r="B22" s="7">
        <f>B16/B15</f>
        <v>0.18597258096562691</v>
      </c>
      <c r="C22" s="7">
        <f>C16/C15</f>
        <v>0.19919961772786998</v>
      </c>
      <c r="D22" s="7">
        <f>D16/D15</f>
        <v>0.20290169837127237</v>
      </c>
      <c r="E22" s="7">
        <v>0.21</v>
      </c>
      <c r="F22" s="7">
        <v>0.21</v>
      </c>
      <c r="G22" s="7">
        <v>0.21</v>
      </c>
      <c r="H22" s="7">
        <v>0.21</v>
      </c>
      <c r="I22" s="7">
        <v>0.21</v>
      </c>
      <c r="K22" s="3" t="s">
        <v>36</v>
      </c>
      <c r="L22" s="3">
        <f>NPV(L21,E30:XFD30)+Sheet1!D5-Sheet1!D6</f>
        <v>6248.1668228775579</v>
      </c>
    </row>
    <row r="23" spans="1:110" x14ac:dyDescent="0.2">
      <c r="K23" s="1" t="s">
        <v>1</v>
      </c>
      <c r="L23" s="1">
        <f>L22/Sheet1!D3</f>
        <v>50.734994867177882</v>
      </c>
    </row>
    <row r="24" spans="1:110" x14ac:dyDescent="0.2">
      <c r="A24" s="1" t="s">
        <v>26</v>
      </c>
      <c r="B24" s="7">
        <f>B7/B5</f>
        <v>0.7889841548762383</v>
      </c>
      <c r="C24" s="7">
        <f t="shared" ref="C24:D24" si="40">C7/C5</f>
        <v>0.76797472323388249</v>
      </c>
      <c r="D24" s="7">
        <f t="shared" si="40"/>
        <v>0.84300547018581296</v>
      </c>
      <c r="E24" s="7">
        <v>0.84</v>
      </c>
      <c r="F24" s="7">
        <v>0.8</v>
      </c>
      <c r="G24" s="7">
        <v>0.8</v>
      </c>
      <c r="H24" s="7">
        <v>0.8</v>
      </c>
      <c r="I24" s="7">
        <v>0.8</v>
      </c>
      <c r="K24" s="1" t="s">
        <v>37</v>
      </c>
      <c r="L24" s="7">
        <f>L23/Sheet1!D2-1</f>
        <v>-0.1709968158957863</v>
      </c>
    </row>
    <row r="25" spans="1:110" s="3" customFormat="1" ht="15" x14ac:dyDescent="0.25">
      <c r="A25" s="3" t="s">
        <v>27</v>
      </c>
      <c r="B25" s="6">
        <f>B12/B5</f>
        <v>0.40536855818462736</v>
      </c>
      <c r="C25" s="6">
        <f t="shared" ref="C25:I25" si="41">C12/C5</f>
        <v>0.40703311545790027</v>
      </c>
      <c r="D25" s="6">
        <f t="shared" si="41"/>
        <v>0.5431498578775994</v>
      </c>
      <c r="E25" s="6">
        <f t="shared" si="41"/>
        <v>0.56551522102511986</v>
      </c>
      <c r="F25" s="6">
        <f t="shared" si="41"/>
        <v>0.55002279057644854</v>
      </c>
      <c r="G25" s="6">
        <f t="shared" si="41"/>
        <v>0.57295647951438899</v>
      </c>
      <c r="H25" s="6">
        <f t="shared" si="41"/>
        <v>0.59417550012052089</v>
      </c>
      <c r="I25" s="6">
        <f t="shared" si="41"/>
        <v>0.61341143468869641</v>
      </c>
    </row>
    <row r="26" spans="1:110" x14ac:dyDescent="0.2">
      <c r="A26" s="1" t="s">
        <v>28</v>
      </c>
      <c r="B26" s="7">
        <f>B30/B5</f>
        <v>0.35643954312721543</v>
      </c>
      <c r="C26" s="7">
        <f t="shared" ref="C26:D26" si="42">C30/C5</f>
        <v>0.45018209883987359</v>
      </c>
      <c r="D26" s="7">
        <f t="shared" si="42"/>
        <v>0.46133147907757344</v>
      </c>
      <c r="E26" s="7">
        <f>D26*1.02</f>
        <v>0.4705581086591249</v>
      </c>
      <c r="F26" s="7">
        <f t="shared" ref="F26:I26" si="43">E26*1.02</f>
        <v>0.47996927083230739</v>
      </c>
      <c r="G26" s="7">
        <f t="shared" si="43"/>
        <v>0.48956865624895357</v>
      </c>
      <c r="H26" s="7">
        <f t="shared" si="43"/>
        <v>0.49936002937393265</v>
      </c>
      <c r="I26" s="7">
        <f t="shared" si="43"/>
        <v>0.50934722996141135</v>
      </c>
    </row>
    <row r="28" spans="1:110" x14ac:dyDescent="0.2">
      <c r="A28" s="1" t="s">
        <v>29</v>
      </c>
      <c r="B28" s="1">
        <v>240.1</v>
      </c>
      <c r="C28" s="1">
        <v>388.6</v>
      </c>
      <c r="D28" s="1">
        <v>479.1</v>
      </c>
    </row>
    <row r="29" spans="1:110" x14ac:dyDescent="0.2">
      <c r="A29" s="1" t="s">
        <v>30</v>
      </c>
      <c r="B29" s="1">
        <v>4.8</v>
      </c>
      <c r="C29" s="1">
        <v>15.3</v>
      </c>
      <c r="D29" s="1">
        <v>10.7</v>
      </c>
    </row>
    <row r="30" spans="1:110" s="3" customFormat="1" ht="15" x14ac:dyDescent="0.25">
      <c r="A30" s="3" t="s">
        <v>31</v>
      </c>
      <c r="B30" s="3">
        <f>B28-B29</f>
        <v>235.29999999999998</v>
      </c>
      <c r="C30" s="3">
        <f t="shared" ref="C30:D30" si="44">C28-C29</f>
        <v>373.3</v>
      </c>
      <c r="D30" s="3">
        <f t="shared" si="44"/>
        <v>468.40000000000003</v>
      </c>
      <c r="E30" s="3">
        <f>E26*E5</f>
        <v>564.66973039094989</v>
      </c>
      <c r="F30" s="3">
        <f t="shared" ref="F30:I30" si="45">F26*F5</f>
        <v>645.07869999862123</v>
      </c>
      <c r="G30" s="3">
        <f t="shared" si="45"/>
        <v>717.1984986584672</v>
      </c>
      <c r="H30" s="3">
        <f t="shared" si="45"/>
        <v>782.75044143585114</v>
      </c>
      <c r="I30" s="3">
        <f t="shared" si="45"/>
        <v>854.29383178308808</v>
      </c>
      <c r="J30" s="3">
        <f>I30*(1+$L$20)</f>
        <v>828.6650168295954</v>
      </c>
      <c r="K30" s="3">
        <f t="shared" ref="K30:BV30" si="46">J30*(1+$L$20)</f>
        <v>803.80506632470747</v>
      </c>
      <c r="L30" s="3">
        <f t="shared" si="46"/>
        <v>779.69091433496624</v>
      </c>
      <c r="M30" s="3">
        <f t="shared" si="46"/>
        <v>756.30018690491727</v>
      </c>
      <c r="N30" s="3">
        <f t="shared" si="46"/>
        <v>733.61118129776969</v>
      </c>
      <c r="O30" s="3">
        <f t="shared" si="46"/>
        <v>711.60284585883653</v>
      </c>
      <c r="P30" s="3">
        <f t="shared" si="46"/>
        <v>690.25476048307144</v>
      </c>
      <c r="Q30" s="3">
        <f t="shared" si="46"/>
        <v>669.54711766857929</v>
      </c>
      <c r="R30" s="3">
        <f t="shared" si="46"/>
        <v>649.46070413852192</v>
      </c>
      <c r="S30" s="3">
        <f t="shared" si="46"/>
        <v>629.97688301436619</v>
      </c>
      <c r="T30" s="3">
        <f t="shared" si="46"/>
        <v>611.07757652393514</v>
      </c>
      <c r="U30" s="3">
        <f t="shared" si="46"/>
        <v>592.74524922821706</v>
      </c>
      <c r="V30" s="3">
        <f t="shared" si="46"/>
        <v>574.96289175137053</v>
      </c>
      <c r="W30" s="3">
        <f t="shared" si="46"/>
        <v>557.71400499882941</v>
      </c>
      <c r="X30" s="3">
        <f t="shared" si="46"/>
        <v>540.98258484886446</v>
      </c>
      <c r="Y30" s="3">
        <f t="shared" si="46"/>
        <v>524.75310730339856</v>
      </c>
      <c r="Z30" s="3">
        <f t="shared" si="46"/>
        <v>509.01051408429657</v>
      </c>
      <c r="AA30" s="3">
        <f t="shared" si="46"/>
        <v>493.74019866176764</v>
      </c>
      <c r="AB30" s="3">
        <f t="shared" si="46"/>
        <v>478.9279927019146</v>
      </c>
      <c r="AC30" s="3">
        <f t="shared" si="46"/>
        <v>464.56015292085715</v>
      </c>
      <c r="AD30" s="3">
        <f t="shared" si="46"/>
        <v>450.62334833323143</v>
      </c>
      <c r="AE30" s="3">
        <f t="shared" si="46"/>
        <v>437.10464788323446</v>
      </c>
      <c r="AF30" s="3">
        <f t="shared" si="46"/>
        <v>423.99150844673744</v>
      </c>
      <c r="AG30" s="3">
        <f t="shared" si="46"/>
        <v>411.27176319333529</v>
      </c>
      <c r="AH30" s="3">
        <f t="shared" si="46"/>
        <v>398.93361029753521</v>
      </c>
      <c r="AI30" s="3">
        <f t="shared" si="46"/>
        <v>386.96560198860914</v>
      </c>
      <c r="AJ30" s="3">
        <f t="shared" si="46"/>
        <v>375.35663392895083</v>
      </c>
      <c r="AK30" s="3">
        <f t="shared" si="46"/>
        <v>364.09593491108228</v>
      </c>
      <c r="AL30" s="3">
        <f t="shared" si="46"/>
        <v>353.17305686374982</v>
      </c>
      <c r="AM30" s="3">
        <f t="shared" si="46"/>
        <v>342.57786515783732</v>
      </c>
      <c r="AN30" s="3">
        <f t="shared" si="46"/>
        <v>332.3005292031022</v>
      </c>
      <c r="AO30" s="3">
        <f t="shared" si="46"/>
        <v>322.33151332700913</v>
      </c>
      <c r="AP30" s="3">
        <f t="shared" si="46"/>
        <v>312.66156792719886</v>
      </c>
      <c r="AQ30" s="3">
        <f t="shared" si="46"/>
        <v>303.28172088938288</v>
      </c>
      <c r="AR30" s="3">
        <f t="shared" si="46"/>
        <v>294.1832692627014</v>
      </c>
      <c r="AS30" s="3">
        <f t="shared" si="46"/>
        <v>285.35777118482036</v>
      </c>
      <c r="AT30" s="3">
        <f t="shared" si="46"/>
        <v>276.79703804927573</v>
      </c>
      <c r="AU30" s="3">
        <f t="shared" si="46"/>
        <v>268.49312690779743</v>
      </c>
      <c r="AV30" s="3">
        <f t="shared" si="46"/>
        <v>260.43833310056351</v>
      </c>
      <c r="AW30" s="3">
        <f t="shared" si="46"/>
        <v>252.6251831075466</v>
      </c>
      <c r="AX30" s="3">
        <f t="shared" si="46"/>
        <v>245.04642761432021</v>
      </c>
      <c r="AY30" s="3">
        <f t="shared" si="46"/>
        <v>237.69503478589058</v>
      </c>
      <c r="AZ30" s="3">
        <f t="shared" si="46"/>
        <v>230.56418374231387</v>
      </c>
      <c r="BA30" s="3">
        <f t="shared" si="46"/>
        <v>223.64725823004446</v>
      </c>
      <c r="BB30" s="3">
        <f t="shared" si="46"/>
        <v>216.93784048314311</v>
      </c>
      <c r="BC30" s="3">
        <f t="shared" si="46"/>
        <v>210.4297052686488</v>
      </c>
      <c r="BD30" s="3">
        <f t="shared" si="46"/>
        <v>204.11681411058933</v>
      </c>
      <c r="BE30" s="3">
        <f t="shared" si="46"/>
        <v>197.99330968727165</v>
      </c>
      <c r="BF30" s="3">
        <f t="shared" si="46"/>
        <v>192.05351039665348</v>
      </c>
      <c r="BG30" s="3">
        <f t="shared" si="46"/>
        <v>186.29190508475386</v>
      </c>
      <c r="BH30" s="3">
        <f t="shared" si="46"/>
        <v>180.70314793221124</v>
      </c>
      <c r="BI30" s="3">
        <f t="shared" si="46"/>
        <v>175.28205349424491</v>
      </c>
      <c r="BJ30" s="3">
        <f t="shared" si="46"/>
        <v>170.02359188941756</v>
      </c>
      <c r="BK30" s="3">
        <f t="shared" si="46"/>
        <v>164.92288413273502</v>
      </c>
      <c r="BL30" s="3">
        <f t="shared" si="46"/>
        <v>159.97519760875298</v>
      </c>
      <c r="BM30" s="3">
        <f t="shared" si="46"/>
        <v>155.17594168049038</v>
      </c>
      <c r="BN30" s="3">
        <f t="shared" si="46"/>
        <v>150.52066343007567</v>
      </c>
      <c r="BO30" s="3">
        <f t="shared" si="46"/>
        <v>146.0050435271734</v>
      </c>
      <c r="BP30" s="3">
        <f t="shared" si="46"/>
        <v>141.62489222135818</v>
      </c>
      <c r="BQ30" s="3">
        <f t="shared" si="46"/>
        <v>137.37614545471743</v>
      </c>
      <c r="BR30" s="3">
        <f t="shared" si="46"/>
        <v>133.2548610910759</v>
      </c>
      <c r="BS30" s="3">
        <f t="shared" si="46"/>
        <v>129.25721525834362</v>
      </c>
      <c r="BT30" s="3">
        <f t="shared" si="46"/>
        <v>125.37949880059331</v>
      </c>
      <c r="BU30" s="3">
        <f t="shared" si="46"/>
        <v>121.6181138365755</v>
      </c>
      <c r="BV30" s="3">
        <f t="shared" si="46"/>
        <v>117.96957042147824</v>
      </c>
      <c r="BW30" s="3">
        <f t="shared" ref="BW30:DF30" si="47">BV30*(1+$L$20)</f>
        <v>114.43048330883389</v>
      </c>
      <c r="BX30" s="3">
        <f t="shared" si="47"/>
        <v>110.99756880956886</v>
      </c>
      <c r="BY30" s="3">
        <f t="shared" si="47"/>
        <v>107.6676417452818</v>
      </c>
      <c r="BZ30" s="3">
        <f t="shared" si="47"/>
        <v>104.43761249292334</v>
      </c>
      <c r="CA30" s="3">
        <f t="shared" si="47"/>
        <v>101.30448411813563</v>
      </c>
      <c r="CB30" s="3">
        <f t="shared" si="47"/>
        <v>98.265349594591555</v>
      </c>
      <c r="CC30" s="3">
        <f t="shared" si="47"/>
        <v>95.317389106753808</v>
      </c>
      <c r="CD30" s="3">
        <f t="shared" si="47"/>
        <v>92.457867433551186</v>
      </c>
      <c r="CE30" s="3">
        <f t="shared" si="47"/>
        <v>89.684131410544651</v>
      </c>
      <c r="CF30" s="3">
        <f t="shared" si="47"/>
        <v>86.993607468228305</v>
      </c>
      <c r="CG30" s="3">
        <f t="shared" si="47"/>
        <v>84.383799244181446</v>
      </c>
      <c r="CH30" s="3">
        <f t="shared" si="47"/>
        <v>81.852285266856001</v>
      </c>
      <c r="CI30" s="3">
        <f t="shared" si="47"/>
        <v>79.39671670885032</v>
      </c>
      <c r="CJ30" s="3">
        <f t="shared" si="47"/>
        <v>77.014815207584803</v>
      </c>
      <c r="CK30" s="3">
        <f t="shared" si="47"/>
        <v>74.70437075135726</v>
      </c>
      <c r="CL30" s="3">
        <f t="shared" si="47"/>
        <v>72.463239628816538</v>
      </c>
      <c r="CM30" s="3">
        <f t="shared" si="47"/>
        <v>70.289342439952037</v>
      </c>
      <c r="CN30" s="3">
        <f t="shared" si="47"/>
        <v>68.180662166753478</v>
      </c>
      <c r="CO30" s="3">
        <f t="shared" si="47"/>
        <v>66.135242301750878</v>
      </c>
      <c r="CP30" s="3">
        <f t="shared" si="47"/>
        <v>64.151185032698351</v>
      </c>
      <c r="CQ30" s="3">
        <f t="shared" si="47"/>
        <v>62.226649481717395</v>
      </c>
      <c r="CR30" s="3">
        <f t="shared" si="47"/>
        <v>60.359849997265869</v>
      </c>
      <c r="CS30" s="3">
        <f t="shared" si="47"/>
        <v>58.549054497347889</v>
      </c>
      <c r="CT30" s="3">
        <f t="shared" si="47"/>
        <v>56.792582862427452</v>
      </c>
      <c r="CU30" s="3">
        <f t="shared" si="47"/>
        <v>55.088805376554625</v>
      </c>
      <c r="CV30" s="3">
        <f t="shared" si="47"/>
        <v>53.436141215257983</v>
      </c>
      <c r="CW30" s="3">
        <f t="shared" si="47"/>
        <v>51.833056978800244</v>
      </c>
      <c r="CX30" s="3">
        <f t="shared" si="47"/>
        <v>50.278065269436233</v>
      </c>
      <c r="CY30" s="3">
        <f t="shared" si="47"/>
        <v>48.769723311353147</v>
      </c>
      <c r="CZ30" s="3">
        <f t="shared" si="47"/>
        <v>47.306631612012552</v>
      </c>
      <c r="DA30" s="3">
        <f t="shared" si="47"/>
        <v>45.887432663652177</v>
      </c>
      <c r="DB30" s="3">
        <f t="shared" si="47"/>
        <v>44.510809683742607</v>
      </c>
      <c r="DC30" s="3">
        <f t="shared" si="47"/>
        <v>43.175485393230325</v>
      </c>
      <c r="DD30" s="3">
        <f t="shared" si="47"/>
        <v>41.880220831433412</v>
      </c>
      <c r="DE30" s="3">
        <f t="shared" si="47"/>
        <v>40.623814206490408</v>
      </c>
      <c r="DF30" s="3">
        <f t="shared" si="47"/>
        <v>39.405099780295693</v>
      </c>
    </row>
    <row r="32" spans="1:110" x14ac:dyDescent="0.2">
      <c r="A32" s="1" t="s">
        <v>32</v>
      </c>
      <c r="D32" s="1">
        <f>D34-D36</f>
        <v>-964.48400000000004</v>
      </c>
      <c r="E32" s="1">
        <f>D32+E17</f>
        <v>-458.85326486818633</v>
      </c>
      <c r="F32" s="1">
        <f t="shared" ref="F32:I32" si="48">E32+F17</f>
        <v>110.63917008442911</v>
      </c>
      <c r="G32" s="1">
        <f t="shared" si="48"/>
        <v>777.22844400032261</v>
      </c>
      <c r="H32" s="1">
        <f t="shared" si="48"/>
        <v>1537.5746186877218</v>
      </c>
      <c r="I32" s="1">
        <f t="shared" si="48"/>
        <v>2398.9406148595331</v>
      </c>
    </row>
    <row r="34" spans="1:4" x14ac:dyDescent="0.2">
      <c r="A34" s="1" t="s">
        <v>4</v>
      </c>
      <c r="D34" s="1">
        <f>115.85+480.224</f>
        <v>596.07399999999996</v>
      </c>
    </row>
    <row r="36" spans="1:4" x14ac:dyDescent="0.2">
      <c r="A36" s="1" t="s">
        <v>5</v>
      </c>
      <c r="D36" s="1">
        <f>54.758+1505.8</f>
        <v>1560.558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2025-05-03T04:37:54Z</dcterms:created>
  <dcterms:modified xsi:type="dcterms:W3CDTF">2025-05-29T22:31:43Z</dcterms:modified>
</cp:coreProperties>
</file>