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6C00C3B9-0314-4A46-BEB3-16B86CAE41A5}" xr6:coauthVersionLast="47" xr6:coauthVersionMax="47" xr10:uidLastSave="{00000000-0000-0000-0000-000000000000}"/>
  <bookViews>
    <workbookView xWindow="6045" yWindow="780" windowWidth="17745" windowHeight="14595" xr2:uid="{27F3582B-0D61-4416-BCF9-804F6891F1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2" l="1"/>
  <c r="O30" i="2"/>
  <c r="M30" i="2"/>
  <c r="O36" i="2"/>
  <c r="O34" i="2"/>
  <c r="O32" i="2" s="1"/>
  <c r="P13" i="2" s="1"/>
  <c r="N11" i="2"/>
  <c r="N26" i="2" s="1"/>
  <c r="O11" i="2"/>
  <c r="O26" i="2" s="1"/>
  <c r="P26" i="2" s="1"/>
  <c r="M11" i="2"/>
  <c r="M26" i="2" s="1"/>
  <c r="N5" i="2"/>
  <c r="O5" i="2"/>
  <c r="O7" i="2" s="1"/>
  <c r="O23" i="2" s="1"/>
  <c r="M5" i="2"/>
  <c r="M7" i="2" s="1"/>
  <c r="M23" i="2" s="1"/>
  <c r="L1" i="2"/>
  <c r="M1" i="2" s="1"/>
  <c r="N1" i="2" s="1"/>
  <c r="O1" i="2" s="1"/>
  <c r="P1" i="2" s="1"/>
  <c r="Q1" i="2" s="1"/>
  <c r="R1" i="2" s="1"/>
  <c r="S1" i="2" s="1"/>
  <c r="T1" i="2" s="1"/>
  <c r="D7" i="1"/>
  <c r="D6" i="1"/>
  <c r="D5" i="1"/>
  <c r="D3" i="1"/>
  <c r="D4" i="1"/>
  <c r="Q26" i="2" l="1"/>
  <c r="O25" i="2"/>
  <c r="N25" i="2"/>
  <c r="P5" i="2"/>
  <c r="O20" i="2"/>
  <c r="P20" i="2"/>
  <c r="N20" i="2"/>
  <c r="M25" i="2"/>
  <c r="N7" i="2"/>
  <c r="N23" i="2" s="1"/>
  <c r="M12" i="2"/>
  <c r="M14" i="2" s="1"/>
  <c r="O12" i="2"/>
  <c r="R26" i="2" l="1"/>
  <c r="Q5" i="2"/>
  <c r="P29" i="2"/>
  <c r="P6" i="2"/>
  <c r="P7" i="2" s="1"/>
  <c r="P28" i="2"/>
  <c r="N12" i="2"/>
  <c r="N24" i="2" s="1"/>
  <c r="P11" i="2"/>
  <c r="M24" i="2"/>
  <c r="N14" i="2"/>
  <c r="M16" i="2"/>
  <c r="M21" i="2"/>
  <c r="N16" i="2"/>
  <c r="N21" i="2"/>
  <c r="O24" i="2"/>
  <c r="O14" i="2"/>
  <c r="P12" i="2" l="1"/>
  <c r="R5" i="2"/>
  <c r="Q29" i="2"/>
  <c r="Q28" i="2"/>
  <c r="Q20" i="2"/>
  <c r="Q6" i="2"/>
  <c r="Q7" i="2" s="1"/>
  <c r="Q11" i="2"/>
  <c r="S26" i="2"/>
  <c r="R11" i="2"/>
  <c r="O16" i="2"/>
  <c r="O21" i="2"/>
  <c r="T26" i="2" l="1"/>
  <c r="Q12" i="2"/>
  <c r="Q24" i="2" s="1"/>
  <c r="S5" i="2"/>
  <c r="R29" i="2"/>
  <c r="R28" i="2"/>
  <c r="R20" i="2"/>
  <c r="R6" i="2"/>
  <c r="R7" i="2" s="1"/>
  <c r="R12" i="2" s="1"/>
  <c r="R24" i="2" s="1"/>
  <c r="P24" i="2"/>
  <c r="P14" i="2"/>
  <c r="P15" i="2" s="1"/>
  <c r="P16" i="2" s="1"/>
  <c r="P30" i="2" l="1"/>
  <c r="P25" i="2" s="1"/>
  <c r="P32" i="2"/>
  <c r="Q13" i="2" s="1"/>
  <c r="Q14" i="2" s="1"/>
  <c r="Q15" i="2" s="1"/>
  <c r="Q16" i="2" s="1"/>
  <c r="T5" i="2"/>
  <c r="S29" i="2"/>
  <c r="S28" i="2"/>
  <c r="S6" i="2"/>
  <c r="S7" i="2" s="1"/>
  <c r="S12" i="2" s="1"/>
  <c r="S24" i="2" s="1"/>
  <c r="S20" i="2"/>
  <c r="S11" i="2"/>
  <c r="T11" i="2"/>
  <c r="Q32" i="2"/>
  <c r="R13" i="2" s="1"/>
  <c r="R14" i="2" s="1"/>
  <c r="R15" i="2" s="1"/>
  <c r="R16" i="2" s="1"/>
  <c r="R30" i="2" s="1"/>
  <c r="R25" i="2" s="1"/>
  <c r="Q30" i="2"/>
  <c r="T29" i="2" l="1"/>
  <c r="T28" i="2"/>
  <c r="T20" i="2"/>
  <c r="T6" i="2"/>
  <c r="T7" i="2" s="1"/>
  <c r="T12" i="2" s="1"/>
  <c r="T24" i="2" s="1"/>
  <c r="R32" i="2"/>
  <c r="S13" i="2" s="1"/>
  <c r="S14" i="2" s="1"/>
  <c r="S15" i="2" s="1"/>
  <c r="S16" i="2" s="1"/>
  <c r="S30" i="2" s="1"/>
  <c r="S25" i="2" s="1"/>
  <c r="Q25" i="2"/>
  <c r="S32" i="2" l="1"/>
  <c r="T13" i="2" l="1"/>
  <c r="T14" i="2" s="1"/>
  <c r="T15" i="2" s="1"/>
  <c r="T16" i="2" s="1"/>
  <c r="U16" i="2" s="1"/>
  <c r="V16" i="2" s="1"/>
  <c r="W16" i="2" s="1"/>
  <c r="X16" i="2" s="1"/>
  <c r="Y16" i="2" s="1"/>
  <c r="Z16" i="2" l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T30" i="2"/>
  <c r="U30" i="2" s="1"/>
  <c r="V30" i="2" s="1"/>
  <c r="W30" i="2" s="1"/>
  <c r="X30" i="2" s="1"/>
  <c r="Y30" i="2" s="1"/>
  <c r="T32" i="2"/>
  <c r="T25" i="2" l="1"/>
  <c r="Z30" i="2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W22" i="2" l="1"/>
  <c r="W23" i="2" s="1"/>
  <c r="W24" i="2" s="1"/>
</calcChain>
</file>

<file path=xl/sharedStrings.xml><?xml version="1.0" encoding="utf-8"?>
<sst xmlns="http://schemas.openxmlformats.org/spreadsheetml/2006/main" count="53" uniqueCount="46">
  <si>
    <t>META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</si>
  <si>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</si>
  <si>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</si>
  <si>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</si>
  <si>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</si>
  <si>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</si>
  <si>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</si>
  <si>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</si>
  <si>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</si>
  <si>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</si>
  <si>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</si>
  <si>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Advertising</t>
  </si>
  <si>
    <t>Reality Labs</t>
  </si>
  <si>
    <t>S&amp;M</t>
  </si>
  <si>
    <t>G&amp;A</t>
  </si>
  <si>
    <t>OPEX</t>
  </si>
  <si>
    <t>Operating Income</t>
  </si>
  <si>
    <t>Pretax Income</t>
  </si>
  <si>
    <t>Interest</t>
  </si>
  <si>
    <t>Tax</t>
  </si>
  <si>
    <t>Net Income</t>
  </si>
  <si>
    <t>EPS</t>
  </si>
  <si>
    <t>Revenue Growth</t>
  </si>
  <si>
    <t>Gross Margin</t>
  </si>
  <si>
    <t>Operating Margin</t>
  </si>
  <si>
    <t>FCF Margin</t>
  </si>
  <si>
    <t>CFFO</t>
  </si>
  <si>
    <t>CX</t>
  </si>
  <si>
    <t>FCF</t>
  </si>
  <si>
    <t>Net Cash</t>
  </si>
  <si>
    <t>Tax Rate</t>
  </si>
  <si>
    <t>Q124</t>
  </si>
  <si>
    <t>Q224</t>
  </si>
  <si>
    <t>Q324</t>
  </si>
  <si>
    <t>Q424</t>
  </si>
  <si>
    <t>Q125</t>
  </si>
  <si>
    <t>Q225</t>
  </si>
  <si>
    <t>Q325</t>
  </si>
  <si>
    <t>Q425</t>
  </si>
  <si>
    <t>Other</t>
  </si>
  <si>
    <t>ROIC</t>
  </si>
  <si>
    <t>Maturity</t>
  </si>
  <si>
    <t>Discount</t>
  </si>
  <si>
    <t>NPV</t>
  </si>
  <si>
    <t>Diff</t>
  </si>
  <si>
    <t>OPEX % of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</si>
</sst>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2" fillId="0" borderId="0" xfId="0" applyNumberFormat="1" applyFont="1"/>
    <xf numFmtId="1" fontId="2" fillId="0" borderId="0" xfId="0" applyNumberFormat="1" applyFont="1"/>
    <xf numFmtId="3" fontId="3" fillId="0" borderId="0" xfId="0" applyNumberFormat="1" applyFont="1"/>
    <xf numFmtId="9" fontId="2" fillId="0" borderId="0" xfId="0" applyNumberFormat="1" applyFont="1"/>
    <xf numFmtId="10" fontId="2" fillId="0" borderId="0" xfId="0" applyNumberFormat="1" applyFont="1"/>
    <xf numFmtId="9" fontId="3" fillId="0" borderId="0" xfId="0" applyNumberFormat="1" applyFont="1"/>
    <xf numFmtId="4" fontId="2" fillId="0" borderId="0" xfId="0" applyNumberFormat="1" applyFont="1"/>
    <xf numFmtId="0" fontId="3" fillId="0" borderId="0" xfId="0" applyFont="1"/>
    <xf numFmtId="0" fontId="2" fillId="0" borderId="0" xfId="0" applyFont="1"/>
    <xf numFmtId="4" fontId="3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9525</xdr:rowOff>
    </xdr:from>
    <xdr:to>
      <xdr:col>5</xdr:col>
      <xdr:colOff>9525</xdr:colOff>
      <xdr:row>38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BD6462B-F670-65B3-047A-AE81BBCF0E31}"/>
            </a:ext>
          </a:extLst>
        </xdr:cNvPr>
        <xdr:cNvCxnSpPr/>
      </xdr:nvCxnSpPr>
      <xdr:spPr>
        <a:xfrm>
          <a:off x="3552825" y="9525"/>
          <a:ext cx="28575" cy="6934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28575</xdr:colOff>
      <xdr:row>38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633B661-B4C6-40FF-91D5-EDE21B27AAA1}"/>
            </a:ext>
          </a:extLst>
        </xdr:cNvPr>
        <xdr:cNvCxnSpPr/>
      </xdr:nvCxnSpPr>
      <xdr:spPr>
        <a:xfrm>
          <a:off x="9667875" y="0"/>
          <a:ext cx="28575" cy="6934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B066-5213-42B1-820E-C438AF6621F9}">
  <dimension ref="A1:E7"/>
  <sheetViews>
    <sheetView tabSelected="1" zoomScale="265" zoomScaleNormal="265" workbookViewId="0">
      <selection activeCell="E5" sqref="E5"/>
    </sheetView>
  </sheetViews>
  <sheetFormatPr defaultRowHeight="14.25" x14ac:dyDescent="0.2"/>
  <cols>
    <col min="1" max="3" width="9.140625" style="9"/>
    <col min="4" max="4" width="11.140625" style="9" customWidth="1"/>
    <col min="5" max="16384" width="9.140625" style="9"/>
  </cols>
  <sheetData>
    <row r="1" spans="1:5" ht="15" x14ac:dyDescent="0.25">
      <c r="A1" s="8" t="s">
        <v>0</v>
      </c>
    </row>
    <row r="2" spans="1:5" x14ac:dyDescent="0.2">
      <c r="C2" s="9" t="s">
        <v>1</v>
      </c>
      <c r="D2" s="7">
        <v>645</v>
      </c>
    </row>
    <row r="3" spans="1:5" x14ac:dyDescent="0.2">
      <c r="C3" s="9" t="s">
        <v>2</v>
      </c>
      <c r="D3" s="1">
        <f>2189.9+343.8</f>
        <v>2533.7000000000003</v>
      </c>
      <c r="E3" s="11" t="s">
        <v>34</v>
      </c>
    </row>
    <row r="4" spans="1:5" x14ac:dyDescent="0.2">
      <c r="C4" s="9" t="s">
        <v>3</v>
      </c>
      <c r="D4" s="1">
        <f>D3*D2</f>
        <v>1634236.5000000002</v>
      </c>
    </row>
    <row r="5" spans="1:5" x14ac:dyDescent="0.2">
      <c r="C5" s="9" t="s">
        <v>4</v>
      </c>
      <c r="D5" s="1">
        <f>43889+33926</f>
        <v>77815</v>
      </c>
      <c r="E5" s="11" t="s">
        <v>34</v>
      </c>
    </row>
    <row r="6" spans="1:5" x14ac:dyDescent="0.2">
      <c r="C6" s="9" t="s">
        <v>5</v>
      </c>
      <c r="D6" s="1">
        <f>28826+9987+2716</f>
        <v>41529</v>
      </c>
      <c r="E6" s="11" t="s">
        <v>34</v>
      </c>
    </row>
    <row r="7" spans="1:5" x14ac:dyDescent="0.2">
      <c r="C7" s="9" t="s">
        <v>6</v>
      </c>
      <c r="D7" s="1">
        <f>D4+D6-D5</f>
        <v>1597950.5000000002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5AA4-BDC3-4CA3-B5F0-D343E2844B7B}">
  <dimension ref="A1:DK36"/>
  <sheetViews>
    <sheetView workbookViewId="0">
      <pane xSplit="1" ySplit="1" topLeftCell="S3" activePane="bottomRight" state="frozen"/>
      <selection pane="topRight" activeCell="B1" sqref="B1"/>
      <selection pane="bottomLeft" activeCell="A2" sqref="A2"/>
      <selection pane="bottomRight" activeCell="W23" sqref="W23"/>
    </sheetView>
  </sheetViews>
  <sheetFormatPr defaultRowHeight="14.25" x14ac:dyDescent="0.2"/>
  <cols>
    <col min="1" max="1" width="17" style="1" customWidth="1"/>
    <col min="2" max="4" width="9.140625" style="1"/>
    <col min="5" max="5" width="9.140625" style="1" customWidth="1"/>
    <col min="6" max="15" width="9.140625" style="1"/>
    <col min="16" max="16" width="9.5703125" style="1" bestFit="1" customWidth="1"/>
    <col min="17" max="22" width="9.140625" style="1"/>
    <col min="23" max="23" width="10.28515625" style="1" customWidth="1"/>
    <col min="24" max="16384" width="9.140625" style="1"/>
  </cols>
  <sheetData>
    <row r="1" spans="1:111" x14ac:dyDescent="0.2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K1" s="2">
        <v>2020</v>
      </c>
      <c r="L1" s="2">
        <f>K1+1</f>
        <v>2021</v>
      </c>
      <c r="M1" s="2">
        <f t="shared" ref="M1:T1" si="0">L1+1</f>
        <v>2022</v>
      </c>
      <c r="N1" s="2">
        <f t="shared" si="0"/>
        <v>2023</v>
      </c>
      <c r="O1" s="2">
        <f t="shared" si="0"/>
        <v>2024</v>
      </c>
      <c r="P1" s="2">
        <f t="shared" si="0"/>
        <v>2025</v>
      </c>
      <c r="Q1" s="2">
        <f t="shared" si="0"/>
        <v>2026</v>
      </c>
      <c r="R1" s="2">
        <f t="shared" si="0"/>
        <v>2027</v>
      </c>
      <c r="S1" s="2">
        <f t="shared" si="0"/>
        <v>2028</v>
      </c>
      <c r="T1" s="2">
        <f t="shared" si="0"/>
        <v>2029</v>
      </c>
    </row>
    <row r="2" spans="1:111" x14ac:dyDescent="0.2">
      <c r="A2" s="1" t="s">
        <v>11</v>
      </c>
      <c r="M2" s="1">
        <v>113642</v>
      </c>
      <c r="N2" s="1">
        <v>131948</v>
      </c>
      <c r="O2" s="1">
        <v>160633</v>
      </c>
    </row>
    <row r="3" spans="1:111" x14ac:dyDescent="0.2">
      <c r="A3" s="1" t="s">
        <v>39</v>
      </c>
      <c r="M3" s="1">
        <v>808</v>
      </c>
      <c r="N3" s="1">
        <v>1058</v>
      </c>
      <c r="O3" s="1">
        <v>1722</v>
      </c>
    </row>
    <row r="4" spans="1:111" x14ac:dyDescent="0.2">
      <c r="A4" s="1" t="s">
        <v>12</v>
      </c>
      <c r="M4" s="1">
        <v>2159</v>
      </c>
      <c r="N4" s="1">
        <v>1896</v>
      </c>
      <c r="O4" s="1">
        <v>2146</v>
      </c>
    </row>
    <row r="5" spans="1:111" s="3" customFormat="1" ht="15" x14ac:dyDescent="0.25">
      <c r="A5" s="3" t="s">
        <v>7</v>
      </c>
      <c r="M5" s="3">
        <f>SUM(M2:M4)</f>
        <v>116609</v>
      </c>
      <c r="N5" s="3">
        <f t="shared" ref="N5:O5" si="1">SUM(N2:N4)</f>
        <v>134902</v>
      </c>
      <c r="O5" s="3">
        <f t="shared" si="1"/>
        <v>164501</v>
      </c>
      <c r="P5" s="3">
        <f>O5*1.14</f>
        <v>187531.13999999998</v>
      </c>
      <c r="Q5" s="3">
        <f t="shared" ref="Q5:T5" si="2">P5*1.14</f>
        <v>213785.49959999995</v>
      </c>
      <c r="R5" s="3">
        <f t="shared" si="2"/>
        <v>243715.46954399993</v>
      </c>
      <c r="S5" s="3">
        <f t="shared" si="2"/>
        <v>277835.63528015988</v>
      </c>
      <c r="T5" s="3">
        <f t="shared" si="2"/>
        <v>316732.62421938224</v>
      </c>
    </row>
    <row r="6" spans="1:111" x14ac:dyDescent="0.2">
      <c r="A6" s="1" t="s">
        <v>8</v>
      </c>
      <c r="M6" s="1">
        <v>25249</v>
      </c>
      <c r="N6" s="1">
        <v>25959</v>
      </c>
      <c r="O6" s="1">
        <v>30161</v>
      </c>
      <c r="P6" s="1">
        <f>P5*(1-P23)</f>
        <v>33755.605200000005</v>
      </c>
      <c r="Q6" s="1">
        <f t="shared" ref="Q6:T6" si="3">Q5*(1-Q23)</f>
        <v>38481.389928000004</v>
      </c>
      <c r="R6" s="1">
        <f t="shared" si="3"/>
        <v>43868.784517920001</v>
      </c>
      <c r="S6" s="1">
        <f t="shared" si="3"/>
        <v>50010.414350428793</v>
      </c>
      <c r="T6" s="1">
        <f t="shared" si="3"/>
        <v>57011.872359488822</v>
      </c>
    </row>
    <row r="7" spans="1:111" x14ac:dyDescent="0.2">
      <c r="A7" s="1" t="s">
        <v>9</v>
      </c>
      <c r="M7" s="1">
        <f>M5-M6</f>
        <v>91360</v>
      </c>
      <c r="N7" s="1">
        <f t="shared" ref="N7:T7" si="4">N5-N6</f>
        <v>108943</v>
      </c>
      <c r="O7" s="1">
        <f t="shared" si="4"/>
        <v>134340</v>
      </c>
      <c r="P7" s="1">
        <f t="shared" si="4"/>
        <v>153775.53479999996</v>
      </c>
      <c r="Q7" s="1">
        <f t="shared" si="4"/>
        <v>175304.10967199993</v>
      </c>
      <c r="R7" s="1">
        <f t="shared" si="4"/>
        <v>199846.68502607994</v>
      </c>
      <c r="S7" s="1">
        <f t="shared" si="4"/>
        <v>227825.22092973109</v>
      </c>
      <c r="T7" s="1">
        <f t="shared" si="4"/>
        <v>259720.75185989341</v>
      </c>
    </row>
    <row r="8" spans="1:111" x14ac:dyDescent="0.2">
      <c r="A8" s="1" t="s">
        <v>10</v>
      </c>
      <c r="M8" s="1">
        <v>35338</v>
      </c>
      <c r="N8" s="1">
        <v>38483</v>
      </c>
      <c r="O8" s="1">
        <v>43873</v>
      </c>
    </row>
    <row r="9" spans="1:111" x14ac:dyDescent="0.2">
      <c r="A9" s="1" t="s">
        <v>13</v>
      </c>
      <c r="M9" s="1">
        <v>15262</v>
      </c>
      <c r="N9" s="1">
        <v>12301</v>
      </c>
      <c r="O9" s="1">
        <v>11347</v>
      </c>
    </row>
    <row r="10" spans="1:111" x14ac:dyDescent="0.2">
      <c r="A10" s="1" t="s">
        <v>14</v>
      </c>
      <c r="M10" s="1">
        <v>11816</v>
      </c>
      <c r="N10" s="1">
        <v>11408</v>
      </c>
      <c r="O10" s="1">
        <v>9740</v>
      </c>
    </row>
    <row r="11" spans="1:111" x14ac:dyDescent="0.2">
      <c r="A11" s="1" t="s">
        <v>15</v>
      </c>
      <c r="M11" s="1">
        <f>SUM(M8:M10)</f>
        <v>62416</v>
      </c>
      <c r="N11" s="1">
        <f t="shared" ref="N11:O11" si="5">SUM(N8:N10)</f>
        <v>62192</v>
      </c>
      <c r="O11" s="1">
        <f t="shared" si="5"/>
        <v>64960</v>
      </c>
      <c r="P11" s="1">
        <f>P26*P5</f>
        <v>72573.311999999991</v>
      </c>
      <c r="Q11" s="1">
        <f t="shared" ref="Q11:T11" si="6">Q26*Q5</f>
        <v>81078.904166399996</v>
      </c>
      <c r="R11" s="1">
        <f t="shared" si="6"/>
        <v>90581.351734702068</v>
      </c>
      <c r="S11" s="1">
        <f t="shared" si="6"/>
        <v>101197.48615800914</v>
      </c>
      <c r="T11" s="1">
        <f t="shared" si="6"/>
        <v>113057.83153572779</v>
      </c>
    </row>
    <row r="12" spans="1:111" x14ac:dyDescent="0.2">
      <c r="A12" s="1" t="s">
        <v>16</v>
      </c>
      <c r="M12" s="1">
        <f>M7-M11</f>
        <v>28944</v>
      </c>
      <c r="N12" s="1">
        <f t="shared" ref="N12:T12" si="7">N7-N11</f>
        <v>46751</v>
      </c>
      <c r="O12" s="1">
        <f t="shared" si="7"/>
        <v>69380</v>
      </c>
      <c r="P12" s="1">
        <f t="shared" si="7"/>
        <v>81202.222799999974</v>
      </c>
      <c r="Q12" s="1">
        <f t="shared" si="7"/>
        <v>94225.205505599937</v>
      </c>
      <c r="R12" s="1">
        <f t="shared" si="7"/>
        <v>109265.33329137787</v>
      </c>
      <c r="S12" s="1">
        <f t="shared" si="7"/>
        <v>126627.73477172195</v>
      </c>
      <c r="T12" s="1">
        <f t="shared" si="7"/>
        <v>146662.92032416561</v>
      </c>
    </row>
    <row r="13" spans="1:111" x14ac:dyDescent="0.2">
      <c r="A13" s="1" t="s">
        <v>18</v>
      </c>
      <c r="M13" s="1">
        <v>-125</v>
      </c>
      <c r="N13" s="1">
        <v>677</v>
      </c>
      <c r="O13" s="1">
        <v>1283</v>
      </c>
      <c r="P13" s="1">
        <f>O32*$W$19</f>
        <v>1451.44</v>
      </c>
      <c r="Q13" s="1">
        <f>P32*$W$19</f>
        <v>4063.2957444799995</v>
      </c>
      <c r="R13" s="1">
        <f>Q32*$W$19</f>
        <v>7169.2123839825254</v>
      </c>
      <c r="S13" s="1">
        <f>R32*$W$19</f>
        <v>10848.544027323915</v>
      </c>
      <c r="T13" s="1">
        <f>S32*$W$19</f>
        <v>15192.794437373763</v>
      </c>
    </row>
    <row r="14" spans="1:111" x14ac:dyDescent="0.2">
      <c r="A14" s="1" t="s">
        <v>17</v>
      </c>
      <c r="M14" s="1">
        <f>M12+M13</f>
        <v>28819</v>
      </c>
      <c r="N14" s="1">
        <f t="shared" ref="N14:T14" si="8">N12+N13</f>
        <v>47428</v>
      </c>
      <c r="O14" s="1">
        <f t="shared" si="8"/>
        <v>70663</v>
      </c>
      <c r="P14" s="1">
        <f t="shared" si="8"/>
        <v>82653.662799999976</v>
      </c>
      <c r="Q14" s="1">
        <f t="shared" si="8"/>
        <v>98288.501250079935</v>
      </c>
      <c r="R14" s="1">
        <f t="shared" si="8"/>
        <v>116434.54567536039</v>
      </c>
      <c r="S14" s="1">
        <f t="shared" si="8"/>
        <v>137476.27879904586</v>
      </c>
      <c r="T14" s="1">
        <f t="shared" si="8"/>
        <v>161855.71476153936</v>
      </c>
    </row>
    <row r="15" spans="1:111" x14ac:dyDescent="0.2">
      <c r="A15" s="1" t="s">
        <v>19</v>
      </c>
      <c r="M15" s="1">
        <v>5619</v>
      </c>
      <c r="N15" s="1">
        <v>8330</v>
      </c>
      <c r="O15" s="1">
        <v>8303</v>
      </c>
      <c r="P15" s="1">
        <f>P14*P21</f>
        <v>17357.269187999995</v>
      </c>
      <c r="Q15" s="1">
        <f t="shared" ref="Q15:T15" si="9">Q14*Q21</f>
        <v>20640.585262516786</v>
      </c>
      <c r="R15" s="1">
        <f t="shared" si="9"/>
        <v>24451.25459182568</v>
      </c>
      <c r="S15" s="1">
        <f t="shared" si="9"/>
        <v>28870.018547799631</v>
      </c>
      <c r="T15" s="1">
        <f t="shared" si="9"/>
        <v>33989.700099923262</v>
      </c>
    </row>
    <row r="16" spans="1:111" s="3" customFormat="1" ht="15" x14ac:dyDescent="0.25">
      <c r="A16" s="3" t="s">
        <v>20</v>
      </c>
      <c r="M16" s="3">
        <f>M14-M15</f>
        <v>23200</v>
      </c>
      <c r="N16" s="3">
        <f t="shared" ref="N16:T16" si="10">N14-N15</f>
        <v>39098</v>
      </c>
      <c r="O16" s="3">
        <f t="shared" si="10"/>
        <v>62360</v>
      </c>
      <c r="P16" s="3">
        <f t="shared" si="10"/>
        <v>65296.393611999985</v>
      </c>
      <c r="Q16" s="3">
        <f t="shared" si="10"/>
        <v>77647.915987563145</v>
      </c>
      <c r="R16" s="3">
        <f t="shared" si="10"/>
        <v>91983.291083534714</v>
      </c>
      <c r="S16" s="3">
        <f t="shared" si="10"/>
        <v>108606.26025124623</v>
      </c>
      <c r="T16" s="3">
        <f t="shared" si="10"/>
        <v>127866.01466161609</v>
      </c>
      <c r="U16" s="3">
        <f t="shared" ref="U16:AZ16" si="11">T16*(1+$W$20)</f>
        <v>129144.67480823226</v>
      </c>
      <c r="V16" s="3">
        <f t="shared" si="11"/>
        <v>130436.12155631458</v>
      </c>
      <c r="W16" s="3">
        <f t="shared" si="11"/>
        <v>131740.48277187772</v>
      </c>
      <c r="X16" s="3">
        <f t="shared" si="11"/>
        <v>133057.88759959649</v>
      </c>
      <c r="Y16" s="3">
        <f t="shared" si="11"/>
        <v>134388.46647559246</v>
      </c>
      <c r="Z16" s="3">
        <f t="shared" si="11"/>
        <v>135732.35114034839</v>
      </c>
      <c r="AA16" s="3">
        <f t="shared" si="11"/>
        <v>137089.67465175188</v>
      </c>
      <c r="AB16" s="3">
        <f t="shared" si="11"/>
        <v>138460.57139826939</v>
      </c>
      <c r="AC16" s="3">
        <f t="shared" si="11"/>
        <v>139845.17711225207</v>
      </c>
      <c r="AD16" s="3">
        <f t="shared" si="11"/>
        <v>141243.62888337459</v>
      </c>
      <c r="AE16" s="3">
        <f t="shared" si="11"/>
        <v>142656.06517220833</v>
      </c>
      <c r="AF16" s="3">
        <f t="shared" si="11"/>
        <v>144082.6258239304</v>
      </c>
      <c r="AG16" s="3">
        <f t="shared" si="11"/>
        <v>145523.45208216971</v>
      </c>
      <c r="AH16" s="3">
        <f t="shared" si="11"/>
        <v>146978.68660299139</v>
      </c>
      <c r="AI16" s="3">
        <f t="shared" si="11"/>
        <v>148448.47346902132</v>
      </c>
      <c r="AJ16" s="3">
        <f t="shared" si="11"/>
        <v>149932.95820371155</v>
      </c>
      <c r="AK16" s="3">
        <f t="shared" si="11"/>
        <v>151432.28778574866</v>
      </c>
      <c r="AL16" s="3">
        <f t="shared" si="11"/>
        <v>152946.61066360614</v>
      </c>
      <c r="AM16" s="3">
        <f t="shared" si="11"/>
        <v>154476.07677024222</v>
      </c>
      <c r="AN16" s="3">
        <f t="shared" si="11"/>
        <v>156020.83753794464</v>
      </c>
      <c r="AO16" s="3">
        <f t="shared" si="11"/>
        <v>157581.04591332408</v>
      </c>
      <c r="AP16" s="3">
        <f t="shared" si="11"/>
        <v>159156.85637245732</v>
      </c>
      <c r="AQ16" s="3">
        <f t="shared" si="11"/>
        <v>160748.42493618189</v>
      </c>
      <c r="AR16" s="3">
        <f t="shared" si="11"/>
        <v>162355.90918554371</v>
      </c>
      <c r="AS16" s="3">
        <f t="shared" si="11"/>
        <v>163979.46827739917</v>
      </c>
      <c r="AT16" s="3">
        <f t="shared" si="11"/>
        <v>165619.26296017316</v>
      </c>
      <c r="AU16" s="3">
        <f t="shared" si="11"/>
        <v>167275.45558977488</v>
      </c>
      <c r="AV16" s="3">
        <f t="shared" si="11"/>
        <v>168948.21014567264</v>
      </c>
      <c r="AW16" s="3">
        <f t="shared" si="11"/>
        <v>170637.69224712937</v>
      </c>
      <c r="AX16" s="3">
        <f t="shared" si="11"/>
        <v>172344.06916960067</v>
      </c>
      <c r="AY16" s="3">
        <f t="shared" si="11"/>
        <v>174067.50986129668</v>
      </c>
      <c r="AZ16" s="3">
        <f t="shared" si="11"/>
        <v>175808.18495990965</v>
      </c>
      <c r="BA16" s="3">
        <f t="shared" ref="BA16:CF16" si="12">AZ16*(1+$W$20)</f>
        <v>177566.26680950876</v>
      </c>
      <c r="BB16" s="3">
        <f t="shared" si="12"/>
        <v>179341.92947760384</v>
      </c>
      <c r="BC16" s="3">
        <f t="shared" si="12"/>
        <v>181135.34877237989</v>
      </c>
      <c r="BD16" s="3">
        <f t="shared" si="12"/>
        <v>182946.70226010369</v>
      </c>
      <c r="BE16" s="3">
        <f t="shared" si="12"/>
        <v>184776.16928270474</v>
      </c>
      <c r="BF16" s="3">
        <f t="shared" si="12"/>
        <v>186623.93097553178</v>
      </c>
      <c r="BG16" s="3">
        <f t="shared" si="12"/>
        <v>188490.17028528711</v>
      </c>
      <c r="BH16" s="3">
        <f t="shared" si="12"/>
        <v>190375.07198813997</v>
      </c>
      <c r="BI16" s="3">
        <f t="shared" si="12"/>
        <v>192278.82270802138</v>
      </c>
      <c r="BJ16" s="3">
        <f t="shared" si="12"/>
        <v>194201.61093510161</v>
      </c>
      <c r="BK16" s="3">
        <f t="shared" si="12"/>
        <v>196143.62704445262</v>
      </c>
      <c r="BL16" s="3">
        <f t="shared" si="12"/>
        <v>198105.06331489715</v>
      </c>
      <c r="BM16" s="3">
        <f t="shared" si="12"/>
        <v>200086.11394804611</v>
      </c>
      <c r="BN16" s="3">
        <f t="shared" si="12"/>
        <v>202086.97508752657</v>
      </c>
      <c r="BO16" s="3">
        <f t="shared" si="12"/>
        <v>204107.84483840186</v>
      </c>
      <c r="BP16" s="3">
        <f t="shared" si="12"/>
        <v>206148.92328678587</v>
      </c>
      <c r="BQ16" s="3">
        <f t="shared" si="12"/>
        <v>208210.41251965374</v>
      </c>
      <c r="BR16" s="3">
        <f t="shared" si="12"/>
        <v>210292.51664485029</v>
      </c>
      <c r="BS16" s="3">
        <f t="shared" si="12"/>
        <v>212395.44181129878</v>
      </c>
      <c r="BT16" s="3">
        <f t="shared" si="12"/>
        <v>214519.39622941177</v>
      </c>
      <c r="BU16" s="3">
        <f t="shared" si="12"/>
        <v>216664.59019170588</v>
      </c>
      <c r="BV16" s="3">
        <f t="shared" si="12"/>
        <v>218831.23609362295</v>
      </c>
      <c r="BW16" s="3">
        <f t="shared" si="12"/>
        <v>221019.54845455918</v>
      </c>
      <c r="BX16" s="3">
        <f t="shared" si="12"/>
        <v>223229.74393910478</v>
      </c>
      <c r="BY16" s="3">
        <f t="shared" si="12"/>
        <v>225462.04137849584</v>
      </c>
      <c r="BZ16" s="3">
        <f t="shared" si="12"/>
        <v>227716.66179228079</v>
      </c>
      <c r="CA16" s="3">
        <f t="shared" si="12"/>
        <v>229993.8284102036</v>
      </c>
      <c r="CB16" s="3">
        <f t="shared" si="12"/>
        <v>232293.76669430564</v>
      </c>
      <c r="CC16" s="3">
        <f t="shared" si="12"/>
        <v>234616.7043612487</v>
      </c>
      <c r="CD16" s="3">
        <f t="shared" si="12"/>
        <v>236962.87140486119</v>
      </c>
      <c r="CE16" s="3">
        <f t="shared" si="12"/>
        <v>239332.50011890981</v>
      </c>
      <c r="CF16" s="3">
        <f t="shared" si="12"/>
        <v>241725.82512009892</v>
      </c>
      <c r="CG16" s="3">
        <f t="shared" ref="CG16:DG16" si="13">CF16*(1+$W$20)</f>
        <v>244143.0833712999</v>
      </c>
      <c r="CH16" s="3">
        <f t="shared" si="13"/>
        <v>246584.51420501291</v>
      </c>
      <c r="CI16" s="3">
        <f t="shared" si="13"/>
        <v>249050.35934706303</v>
      </c>
      <c r="CJ16" s="3">
        <f t="shared" si="13"/>
        <v>251540.86294053367</v>
      </c>
      <c r="CK16" s="3">
        <f t="shared" si="13"/>
        <v>254056.27156993901</v>
      </c>
      <c r="CL16" s="3">
        <f t="shared" si="13"/>
        <v>256596.83428563841</v>
      </c>
      <c r="CM16" s="3">
        <f t="shared" si="13"/>
        <v>259162.8026284948</v>
      </c>
      <c r="CN16" s="3">
        <f t="shared" si="13"/>
        <v>261754.43065477975</v>
      </c>
      <c r="CO16" s="3">
        <f t="shared" si="13"/>
        <v>264371.97496132756</v>
      </c>
      <c r="CP16" s="3">
        <f t="shared" si="13"/>
        <v>267015.69471094082</v>
      </c>
      <c r="CQ16" s="3">
        <f t="shared" si="13"/>
        <v>269685.8516580502</v>
      </c>
      <c r="CR16" s="3">
        <f t="shared" si="13"/>
        <v>272382.71017463069</v>
      </c>
      <c r="CS16" s="3">
        <f t="shared" si="13"/>
        <v>275106.53727637697</v>
      </c>
      <c r="CT16" s="3">
        <f t="shared" si="13"/>
        <v>277857.60264914075</v>
      </c>
      <c r="CU16" s="3">
        <f t="shared" si="13"/>
        <v>280636.17867563217</v>
      </c>
      <c r="CV16" s="3">
        <f t="shared" si="13"/>
        <v>283442.54046238848</v>
      </c>
      <c r="CW16" s="3">
        <f t="shared" si="13"/>
        <v>286276.96586701239</v>
      </c>
      <c r="CX16" s="3">
        <f t="shared" si="13"/>
        <v>289139.73552568251</v>
      </c>
      <c r="CY16" s="3">
        <f t="shared" si="13"/>
        <v>292031.13288093935</v>
      </c>
      <c r="CZ16" s="3">
        <f t="shared" si="13"/>
        <v>294951.44420974876</v>
      </c>
      <c r="DA16" s="3">
        <f t="shared" si="13"/>
        <v>297900.95865184627</v>
      </c>
      <c r="DB16" s="3">
        <f t="shared" si="13"/>
        <v>300879.96823836473</v>
      </c>
      <c r="DC16" s="3">
        <f t="shared" si="13"/>
        <v>303888.76792074839</v>
      </c>
      <c r="DD16" s="3">
        <f t="shared" si="13"/>
        <v>306927.65559995588</v>
      </c>
      <c r="DE16" s="3">
        <f t="shared" si="13"/>
        <v>309996.93215595547</v>
      </c>
      <c r="DF16" s="3">
        <f t="shared" si="13"/>
        <v>313096.901477515</v>
      </c>
      <c r="DG16" s="3">
        <f t="shared" si="13"/>
        <v>316227.87049229012</v>
      </c>
    </row>
    <row r="17" spans="1:115" x14ac:dyDescent="0.2">
      <c r="A17" s="1" t="s">
        <v>2</v>
      </c>
      <c r="N17" s="4"/>
      <c r="O17" s="4"/>
      <c r="P17" s="4"/>
      <c r="Q17" s="4"/>
      <c r="R17" s="4"/>
      <c r="S17" s="4"/>
      <c r="T17" s="4"/>
    </row>
    <row r="18" spans="1:115" x14ac:dyDescent="0.2">
      <c r="A18" s="1" t="s">
        <v>21</v>
      </c>
    </row>
    <row r="19" spans="1:115" x14ac:dyDescent="0.2">
      <c r="V19" s="1" t="s">
        <v>40</v>
      </c>
      <c r="W19" s="5">
        <v>0.04</v>
      </c>
    </row>
    <row r="20" spans="1:115" s="3" customFormat="1" ht="15" x14ac:dyDescent="0.25">
      <c r="A20" s="3" t="s">
        <v>22</v>
      </c>
      <c r="N20" s="6">
        <f>N5/M5-1</f>
        <v>0.15687468377226454</v>
      </c>
      <c r="O20" s="6">
        <f>O5/N5-1</f>
        <v>0.21941112807816054</v>
      </c>
      <c r="P20" s="6">
        <f t="shared" ref="P20:T20" si="14">P5/O5-1</f>
        <v>0.1399999999999999</v>
      </c>
      <c r="Q20" s="6">
        <f t="shared" si="14"/>
        <v>0.1399999999999999</v>
      </c>
      <c r="R20" s="6">
        <f t="shared" si="14"/>
        <v>0.1399999999999999</v>
      </c>
      <c r="S20" s="6">
        <f t="shared" si="14"/>
        <v>0.1399999999999999</v>
      </c>
      <c r="T20" s="6">
        <f t="shared" si="14"/>
        <v>0.1399999999999999</v>
      </c>
      <c r="V20" s="1" t="s">
        <v>41</v>
      </c>
      <c r="W20" s="5">
        <v>0.01</v>
      </c>
    </row>
    <row r="21" spans="1:115" x14ac:dyDescent="0.2">
      <c r="A21" s="1" t="s">
        <v>30</v>
      </c>
      <c r="M21" s="4">
        <f>M15/M14</f>
        <v>0.19497553697213643</v>
      </c>
      <c r="N21" s="4">
        <f t="shared" ref="N21:O21" si="15">N15/N14</f>
        <v>0.17563464620055663</v>
      </c>
      <c r="O21" s="4">
        <f t="shared" si="15"/>
        <v>0.11750137978857393</v>
      </c>
      <c r="P21" s="4">
        <v>0.21</v>
      </c>
      <c r="Q21" s="4">
        <v>0.21</v>
      </c>
      <c r="R21" s="4">
        <v>0.21</v>
      </c>
      <c r="S21" s="4">
        <v>0.21</v>
      </c>
      <c r="T21" s="4">
        <v>0.21</v>
      </c>
      <c r="V21" s="1" t="s">
        <v>42</v>
      </c>
      <c r="W21" s="5">
        <v>0.09</v>
      </c>
    </row>
    <row r="22" spans="1:115" x14ac:dyDescent="0.2">
      <c r="V22" s="1" t="s">
        <v>43</v>
      </c>
      <c r="W22" s="1">
        <f>NPV(W21,P30:DG30)+Sheet1!D5-Sheet1!D6</f>
        <v>1522769.7965036253</v>
      </c>
    </row>
    <row r="23" spans="1:115" s="3" customFormat="1" ht="15" x14ac:dyDescent="0.25">
      <c r="A23" s="3" t="s">
        <v>23</v>
      </c>
      <c r="M23" s="6">
        <f>M7/M5</f>
        <v>0.78347297378418479</v>
      </c>
      <c r="N23" s="6">
        <f t="shared" ref="N23:O23" si="16">N7/N5</f>
        <v>0.8075714222176098</v>
      </c>
      <c r="O23" s="6">
        <f t="shared" si="16"/>
        <v>0.81665157050717019</v>
      </c>
      <c r="P23" s="6">
        <v>0.82</v>
      </c>
      <c r="Q23" s="6">
        <v>0.82</v>
      </c>
      <c r="R23" s="6">
        <v>0.82</v>
      </c>
      <c r="S23" s="6">
        <v>0.82</v>
      </c>
      <c r="T23" s="6">
        <v>0.82</v>
      </c>
      <c r="V23" s="1" t="s">
        <v>1</v>
      </c>
      <c r="W23" s="10">
        <f>W22/Sheet1!D3</f>
        <v>601.00635296350208</v>
      </c>
    </row>
    <row r="24" spans="1:115" x14ac:dyDescent="0.2">
      <c r="A24" s="1" t="s">
        <v>24</v>
      </c>
      <c r="M24" s="4">
        <f>M12/M5</f>
        <v>0.24821411726367604</v>
      </c>
      <c r="N24" s="4">
        <f t="shared" ref="N24:T24" si="17">N12/N5</f>
        <v>0.34655527716416362</v>
      </c>
      <c r="O24" s="4">
        <f t="shared" si="17"/>
        <v>0.42176035404040096</v>
      </c>
      <c r="P24" s="4">
        <f t="shared" si="17"/>
        <v>0.43300660786256606</v>
      </c>
      <c r="Q24" s="4">
        <f t="shared" si="17"/>
        <v>0.44074647570531467</v>
      </c>
      <c r="R24" s="4">
        <f t="shared" si="17"/>
        <v>0.44833154619120846</v>
      </c>
      <c r="S24" s="4">
        <f t="shared" si="17"/>
        <v>0.45576491526738427</v>
      </c>
      <c r="T24" s="4">
        <f t="shared" si="17"/>
        <v>0.46304961696203656</v>
      </c>
      <c r="V24" s="1" t="s">
        <v>44</v>
      </c>
      <c r="W24" s="4">
        <f>W23/Sheet1!D2-1</f>
        <v>-6.8207204707748659E-2</v>
      </c>
    </row>
    <row r="25" spans="1:115" x14ac:dyDescent="0.2">
      <c r="A25" s="1" t="s">
        <v>25</v>
      </c>
      <c r="M25" s="4">
        <f>M30/M5</f>
        <v>0.16541604850397482</v>
      </c>
      <c r="N25" s="4">
        <f t="shared" ref="N25:T25" si="18">N30/N5</f>
        <v>0.32666676550384721</v>
      </c>
      <c r="O25" s="4">
        <f t="shared" si="18"/>
        <v>0.32870316897769619</v>
      </c>
      <c r="P25" s="4">
        <f t="shared" si="18"/>
        <v>0.42</v>
      </c>
      <c r="Q25" s="4">
        <f t="shared" si="18"/>
        <v>0.42</v>
      </c>
      <c r="R25" s="4">
        <f t="shared" si="18"/>
        <v>0.42</v>
      </c>
      <c r="S25" s="4">
        <f t="shared" si="18"/>
        <v>0.42</v>
      </c>
      <c r="T25" s="4">
        <f t="shared" si="18"/>
        <v>0.42</v>
      </c>
    </row>
    <row r="26" spans="1:115" x14ac:dyDescent="0.2">
      <c r="A26" s="1" t="s">
        <v>45</v>
      </c>
      <c r="M26" s="4">
        <f>M11/M5</f>
        <v>0.53525885652050875</v>
      </c>
      <c r="N26" s="4">
        <f t="shared" ref="N26:O26" si="19">N11/N5</f>
        <v>0.46101614505344618</v>
      </c>
      <c r="O26" s="4">
        <f t="shared" si="19"/>
        <v>0.39489121646676922</v>
      </c>
      <c r="P26" s="4">
        <f>O26*0.98</f>
        <v>0.38699339213743383</v>
      </c>
      <c r="Q26" s="4">
        <f t="shared" ref="Q26:T26" si="20">P26*0.98</f>
        <v>0.37925352429468517</v>
      </c>
      <c r="R26" s="4">
        <f t="shared" si="20"/>
        <v>0.37166845380879149</v>
      </c>
      <c r="S26" s="4">
        <f t="shared" si="20"/>
        <v>0.36423508473261568</v>
      </c>
      <c r="T26" s="4">
        <f t="shared" si="20"/>
        <v>0.35695038303796334</v>
      </c>
    </row>
    <row r="27" spans="1:115" x14ac:dyDescent="0.2">
      <c r="M27" s="4"/>
      <c r="N27" s="4"/>
      <c r="O27" s="4"/>
      <c r="P27" s="4"/>
      <c r="Q27" s="4"/>
      <c r="R27" s="4"/>
      <c r="S27" s="4"/>
      <c r="T27" s="4"/>
    </row>
    <row r="28" spans="1:115" x14ac:dyDescent="0.2">
      <c r="A28" s="1" t="s">
        <v>26</v>
      </c>
      <c r="M28" s="1">
        <v>50475</v>
      </c>
      <c r="N28" s="1">
        <v>71113</v>
      </c>
      <c r="O28" s="1">
        <v>91328</v>
      </c>
      <c r="P28" s="1">
        <f>P5*0.6</f>
        <v>112518.68399999999</v>
      </c>
      <c r="Q28" s="1">
        <f t="shared" ref="Q28:T28" si="21">Q5*0.6</f>
        <v>128271.29975999997</v>
      </c>
      <c r="R28" s="1">
        <f t="shared" si="21"/>
        <v>146229.28172639996</v>
      </c>
      <c r="S28" s="1">
        <f t="shared" si="21"/>
        <v>166701.38116809592</v>
      </c>
      <c r="T28" s="1">
        <f t="shared" si="21"/>
        <v>190039.57453162933</v>
      </c>
    </row>
    <row r="29" spans="1:115" x14ac:dyDescent="0.2">
      <c r="A29" s="1" t="s">
        <v>27</v>
      </c>
      <c r="M29" s="1">
        <v>31186</v>
      </c>
      <c r="N29" s="1">
        <v>27045</v>
      </c>
      <c r="O29" s="1">
        <v>37256</v>
      </c>
      <c r="P29" s="1">
        <f>P5*0.18</f>
        <v>33755.605199999998</v>
      </c>
      <c r="Q29" s="1">
        <f t="shared" ref="Q29:T29" si="22">Q5*0.18</f>
        <v>38481.38992799999</v>
      </c>
      <c r="R29" s="1">
        <f t="shared" si="22"/>
        <v>43868.784517919987</v>
      </c>
      <c r="S29" s="1">
        <f t="shared" si="22"/>
        <v>50010.414350428779</v>
      </c>
      <c r="T29" s="1">
        <f t="shared" si="22"/>
        <v>57011.8723594888</v>
      </c>
    </row>
    <row r="30" spans="1:115" s="3" customFormat="1" ht="15" x14ac:dyDescent="0.25">
      <c r="A30" s="3" t="s">
        <v>28</v>
      </c>
      <c r="M30" s="3">
        <f>M28-M29</f>
        <v>19289</v>
      </c>
      <c r="N30" s="3">
        <f t="shared" ref="N30:T30" si="23">N28-N29</f>
        <v>44068</v>
      </c>
      <c r="O30" s="3">
        <f t="shared" si="23"/>
        <v>54072</v>
      </c>
      <c r="P30" s="3">
        <f t="shared" si="23"/>
        <v>78763.078799999988</v>
      </c>
      <c r="Q30" s="3">
        <f t="shared" si="23"/>
        <v>89789.909831999976</v>
      </c>
      <c r="R30" s="3">
        <f t="shared" si="23"/>
        <v>102360.49720847997</v>
      </c>
      <c r="S30" s="3">
        <f t="shared" si="23"/>
        <v>116690.96681766714</v>
      </c>
      <c r="T30" s="3">
        <f t="shared" si="23"/>
        <v>133027.70217214053</v>
      </c>
      <c r="U30" s="3">
        <f t="shared" ref="U30:AZ30" si="24">T30*(1+$W$20)</f>
        <v>134357.97919386195</v>
      </c>
      <c r="V30" s="3">
        <f t="shared" si="24"/>
        <v>135701.55898580057</v>
      </c>
      <c r="W30" s="3">
        <f t="shared" si="24"/>
        <v>137058.57457565857</v>
      </c>
      <c r="X30" s="3">
        <f t="shared" si="24"/>
        <v>138429.16032141514</v>
      </c>
      <c r="Y30" s="3">
        <f t="shared" si="24"/>
        <v>139813.45192462931</v>
      </c>
      <c r="Z30" s="3">
        <f t="shared" si="24"/>
        <v>141211.5864438756</v>
      </c>
      <c r="AA30" s="3">
        <f t="shared" si="24"/>
        <v>142623.70230831436</v>
      </c>
      <c r="AB30" s="3">
        <f t="shared" si="24"/>
        <v>144049.9393313975</v>
      </c>
      <c r="AC30" s="3">
        <f t="shared" si="24"/>
        <v>145490.43872471148</v>
      </c>
      <c r="AD30" s="3">
        <f t="shared" si="24"/>
        <v>146945.34311195859</v>
      </c>
      <c r="AE30" s="3">
        <f t="shared" si="24"/>
        <v>148414.79654307818</v>
      </c>
      <c r="AF30" s="3">
        <f t="shared" si="24"/>
        <v>149898.94450850895</v>
      </c>
      <c r="AG30" s="3">
        <f t="shared" si="24"/>
        <v>151397.93395359404</v>
      </c>
      <c r="AH30" s="3">
        <f t="shared" si="24"/>
        <v>152911.91329312997</v>
      </c>
      <c r="AI30" s="3">
        <f t="shared" si="24"/>
        <v>154441.03242606128</v>
      </c>
      <c r="AJ30" s="3">
        <f t="shared" si="24"/>
        <v>155985.4427503219</v>
      </c>
      <c r="AK30" s="3">
        <f t="shared" si="24"/>
        <v>157545.29717782512</v>
      </c>
      <c r="AL30" s="3">
        <f t="shared" si="24"/>
        <v>159120.75014960338</v>
      </c>
      <c r="AM30" s="3">
        <f t="shared" si="24"/>
        <v>160711.95765109942</v>
      </c>
      <c r="AN30" s="3">
        <f t="shared" si="24"/>
        <v>162319.07722761043</v>
      </c>
      <c r="AO30" s="3">
        <f t="shared" si="24"/>
        <v>163942.26799988654</v>
      </c>
      <c r="AP30" s="3">
        <f t="shared" si="24"/>
        <v>165581.69067988539</v>
      </c>
      <c r="AQ30" s="3">
        <f t="shared" si="24"/>
        <v>167237.50758668425</v>
      </c>
      <c r="AR30" s="3">
        <f t="shared" si="24"/>
        <v>168909.8826625511</v>
      </c>
      <c r="AS30" s="3">
        <f t="shared" si="24"/>
        <v>170598.9814891766</v>
      </c>
      <c r="AT30" s="3">
        <f t="shared" si="24"/>
        <v>172304.97130406837</v>
      </c>
      <c r="AU30" s="3">
        <f t="shared" si="24"/>
        <v>174028.02101710904</v>
      </c>
      <c r="AV30" s="3">
        <f t="shared" si="24"/>
        <v>175768.30122728014</v>
      </c>
      <c r="AW30" s="3">
        <f t="shared" si="24"/>
        <v>177525.98423955296</v>
      </c>
      <c r="AX30" s="3">
        <f t="shared" si="24"/>
        <v>179301.24408194848</v>
      </c>
      <c r="AY30" s="3">
        <f t="shared" si="24"/>
        <v>181094.25652276797</v>
      </c>
      <c r="AZ30" s="3">
        <f t="shared" si="24"/>
        <v>182905.19908799566</v>
      </c>
      <c r="BA30" s="3">
        <f t="shared" ref="BA30:CF30" si="25">AZ30*(1+$W$20)</f>
        <v>184734.25107887562</v>
      </c>
      <c r="BB30" s="3">
        <f t="shared" si="25"/>
        <v>186581.59358966438</v>
      </c>
      <c r="BC30" s="3">
        <f t="shared" si="25"/>
        <v>188447.40952556103</v>
      </c>
      <c r="BD30" s="3">
        <f t="shared" si="25"/>
        <v>190331.88362081663</v>
      </c>
      <c r="BE30" s="3">
        <f t="shared" si="25"/>
        <v>192235.2024570248</v>
      </c>
      <c r="BF30" s="3">
        <f t="shared" si="25"/>
        <v>194157.55448159506</v>
      </c>
      <c r="BG30" s="3">
        <f t="shared" si="25"/>
        <v>196099.130026411</v>
      </c>
      <c r="BH30" s="3">
        <f t="shared" si="25"/>
        <v>198060.12132667511</v>
      </c>
      <c r="BI30" s="3">
        <f t="shared" si="25"/>
        <v>200040.72253994187</v>
      </c>
      <c r="BJ30" s="3">
        <f t="shared" si="25"/>
        <v>202041.12976534129</v>
      </c>
      <c r="BK30" s="3">
        <f t="shared" si="25"/>
        <v>204061.54106299471</v>
      </c>
      <c r="BL30" s="3">
        <f t="shared" si="25"/>
        <v>206102.15647362467</v>
      </c>
      <c r="BM30" s="3">
        <f t="shared" si="25"/>
        <v>208163.1780383609</v>
      </c>
      <c r="BN30" s="3">
        <f t="shared" si="25"/>
        <v>210244.80981874451</v>
      </c>
      <c r="BO30" s="3">
        <f t="shared" si="25"/>
        <v>212347.25791693197</v>
      </c>
      <c r="BP30" s="3">
        <f t="shared" si="25"/>
        <v>214470.73049610129</v>
      </c>
      <c r="BQ30" s="3">
        <f t="shared" si="25"/>
        <v>216615.4378010623</v>
      </c>
      <c r="BR30" s="3">
        <f t="shared" si="25"/>
        <v>218781.59217907293</v>
      </c>
      <c r="BS30" s="3">
        <f t="shared" si="25"/>
        <v>220969.40810086366</v>
      </c>
      <c r="BT30" s="3">
        <f t="shared" si="25"/>
        <v>223179.10218187229</v>
      </c>
      <c r="BU30" s="3">
        <f t="shared" si="25"/>
        <v>225410.89320369103</v>
      </c>
      <c r="BV30" s="3">
        <f t="shared" si="25"/>
        <v>227665.00213572793</v>
      </c>
      <c r="BW30" s="3">
        <f t="shared" si="25"/>
        <v>229941.65215708522</v>
      </c>
      <c r="BX30" s="3">
        <f t="shared" si="25"/>
        <v>232241.06867865607</v>
      </c>
      <c r="BY30" s="3">
        <f t="shared" si="25"/>
        <v>234563.47936544262</v>
      </c>
      <c r="BZ30" s="3">
        <f t="shared" si="25"/>
        <v>236909.11415909705</v>
      </c>
      <c r="CA30" s="3">
        <f t="shared" si="25"/>
        <v>239278.20530068802</v>
      </c>
      <c r="CB30" s="3">
        <f t="shared" si="25"/>
        <v>241670.98735369489</v>
      </c>
      <c r="CC30" s="3">
        <f t="shared" si="25"/>
        <v>244087.69722723184</v>
      </c>
      <c r="CD30" s="3">
        <f t="shared" si="25"/>
        <v>246528.57419950416</v>
      </c>
      <c r="CE30" s="3">
        <f t="shared" si="25"/>
        <v>248993.85994149919</v>
      </c>
      <c r="CF30" s="3">
        <f t="shared" si="25"/>
        <v>251483.7985409142</v>
      </c>
      <c r="CG30" s="3">
        <f t="shared" ref="CG30:DK30" si="26">CF30*(1+$W$20)</f>
        <v>253998.63652632333</v>
      </c>
      <c r="CH30" s="3">
        <f t="shared" si="26"/>
        <v>256538.62289158656</v>
      </c>
      <c r="CI30" s="3">
        <f t="shared" si="26"/>
        <v>259104.00912050242</v>
      </c>
      <c r="CJ30" s="3">
        <f t="shared" si="26"/>
        <v>261695.04921170746</v>
      </c>
      <c r="CK30" s="3">
        <f t="shared" si="26"/>
        <v>264311.99970382452</v>
      </c>
      <c r="CL30" s="3">
        <f t="shared" si="26"/>
        <v>266955.11970086279</v>
      </c>
      <c r="CM30" s="3">
        <f t="shared" si="26"/>
        <v>269624.67089787143</v>
      </c>
      <c r="CN30" s="3">
        <f t="shared" si="26"/>
        <v>272320.91760685015</v>
      </c>
      <c r="CO30" s="3">
        <f t="shared" si="26"/>
        <v>275044.12678291864</v>
      </c>
      <c r="CP30" s="3">
        <f t="shared" si="26"/>
        <v>277794.56805074785</v>
      </c>
      <c r="CQ30" s="3">
        <f t="shared" si="26"/>
        <v>280572.51373125531</v>
      </c>
      <c r="CR30" s="3">
        <f t="shared" si="26"/>
        <v>283378.23886856786</v>
      </c>
      <c r="CS30" s="3">
        <f t="shared" si="26"/>
        <v>286212.02125725354</v>
      </c>
      <c r="CT30" s="3">
        <f t="shared" si="26"/>
        <v>289074.14146982605</v>
      </c>
      <c r="CU30" s="3">
        <f t="shared" si="26"/>
        <v>291964.8828845243</v>
      </c>
      <c r="CV30" s="3">
        <f t="shared" si="26"/>
        <v>294884.53171336954</v>
      </c>
      <c r="CW30" s="3">
        <f t="shared" si="26"/>
        <v>297833.37703050324</v>
      </c>
      <c r="CX30" s="3">
        <f t="shared" si="26"/>
        <v>300811.71080080827</v>
      </c>
      <c r="CY30" s="3">
        <f t="shared" si="26"/>
        <v>303819.82790881634</v>
      </c>
      <c r="CZ30" s="3">
        <f t="shared" si="26"/>
        <v>306858.02618790453</v>
      </c>
      <c r="DA30" s="3">
        <f t="shared" si="26"/>
        <v>309926.60644978361</v>
      </c>
      <c r="DB30" s="3">
        <f t="shared" si="26"/>
        <v>313025.87251428142</v>
      </c>
      <c r="DC30" s="3">
        <f t="shared" si="26"/>
        <v>316156.13123942423</v>
      </c>
      <c r="DD30" s="3">
        <f t="shared" si="26"/>
        <v>319317.69255181844</v>
      </c>
      <c r="DE30" s="3">
        <f t="shared" si="26"/>
        <v>322510.86947733664</v>
      </c>
      <c r="DF30" s="3">
        <f t="shared" si="26"/>
        <v>325735.97817210999</v>
      </c>
      <c r="DG30" s="3">
        <f t="shared" si="26"/>
        <v>328993.33795383107</v>
      </c>
      <c r="DH30" s="3">
        <f t="shared" si="26"/>
        <v>332283.27133336937</v>
      </c>
      <c r="DI30" s="3">
        <f t="shared" si="26"/>
        <v>335606.10404670308</v>
      </c>
      <c r="DJ30" s="3">
        <f t="shared" si="26"/>
        <v>338962.16508717014</v>
      </c>
      <c r="DK30" s="3">
        <f t="shared" si="26"/>
        <v>342351.78673804185</v>
      </c>
    </row>
    <row r="31" spans="1:115" x14ac:dyDescent="0.2">
      <c r="M31" s="4"/>
      <c r="N31" s="4"/>
      <c r="O31" s="4"/>
      <c r="P31" s="4"/>
      <c r="Q31" s="4"/>
      <c r="R31" s="4"/>
      <c r="S31" s="4"/>
      <c r="T31" s="4"/>
      <c r="U31" s="7"/>
      <c r="V31" s="7"/>
      <c r="W31" s="7"/>
      <c r="X31" s="7"/>
      <c r="Y31" s="7"/>
      <c r="Z31" s="7"/>
      <c r="AA31" s="7"/>
      <c r="AB31" s="7"/>
    </row>
    <row r="32" spans="1:115" x14ac:dyDescent="0.2">
      <c r="A32" s="1" t="s">
        <v>29</v>
      </c>
      <c r="O32" s="1">
        <f>O34-O36</f>
        <v>36286</v>
      </c>
      <c r="P32" s="1">
        <f>O32+P16</f>
        <v>101582.39361199999</v>
      </c>
      <c r="Q32" s="1">
        <f t="shared" ref="Q32:T32" si="27">P32+Q16</f>
        <v>179230.30959956313</v>
      </c>
      <c r="R32" s="1">
        <f t="shared" si="27"/>
        <v>271213.60068309784</v>
      </c>
      <c r="S32" s="1">
        <f t="shared" si="27"/>
        <v>379819.86093434406</v>
      </c>
      <c r="T32" s="1">
        <f t="shared" si="27"/>
        <v>507685.87559596018</v>
      </c>
    </row>
    <row r="34" spans="1:15" x14ac:dyDescent="0.2">
      <c r="A34" s="1" t="s">
        <v>4</v>
      </c>
      <c r="O34" s="1">
        <f>43889+33926</f>
        <v>77815</v>
      </c>
    </row>
    <row r="36" spans="1:15" x14ac:dyDescent="0.2">
      <c r="A36" s="1" t="s">
        <v>5</v>
      </c>
      <c r="O36" s="1">
        <f>28826+9987+2716</f>
        <v>41529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2025-04-28T19:23:20Z</dcterms:created>
  <dcterms:modified xsi:type="dcterms:W3CDTF">2025-05-29T22:28:07Z</dcterms:modified>
</cp:coreProperties>
</file>