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BBBD39C-8F4B-4441-AA6E-354B45A3D584}" xr6:coauthVersionLast="47" xr6:coauthVersionMax="47" xr10:uidLastSave="{00000000-0000-0000-0000-000000000000}"/>
  <bookViews>
    <workbookView xWindow="6045" yWindow="780" windowWidth="17745" windowHeight="14640" activeTab="1" xr2:uid="{8238CC19-5C58-4680-92E0-526DD4D782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/>
  <c r="T2" i="2"/>
  <c r="Q2" i="2"/>
  <c r="P2" i="2"/>
  <c r="Q3" i="2"/>
  <c r="R3" i="2"/>
  <c r="S3" i="2" s="1"/>
  <c r="P3" i="2"/>
  <c r="Q30" i="2"/>
  <c r="R30" i="2"/>
  <c r="S30" i="2" s="1"/>
  <c r="T30" i="2" s="1"/>
  <c r="P30" i="2"/>
  <c r="M30" i="2"/>
  <c r="N30" i="2"/>
  <c r="O30" i="2"/>
  <c r="N34" i="2"/>
  <c r="O34" i="2"/>
  <c r="M34" i="2"/>
  <c r="N33" i="2"/>
  <c r="O33" i="2"/>
  <c r="M33" i="2"/>
  <c r="N28" i="2"/>
  <c r="O28" i="2"/>
  <c r="M28" i="2"/>
  <c r="N20" i="2"/>
  <c r="O20" i="2"/>
  <c r="R4" i="2"/>
  <c r="R20" i="2" s="1"/>
  <c r="P21" i="2"/>
  <c r="Q21" i="2"/>
  <c r="P22" i="2"/>
  <c r="Q22" i="2"/>
  <c r="R22" i="2"/>
  <c r="N22" i="2"/>
  <c r="O22" i="2"/>
  <c r="N21" i="2"/>
  <c r="O21" i="2"/>
  <c r="P13" i="2"/>
  <c r="G39" i="2"/>
  <c r="G37" i="2"/>
  <c r="G35" i="2" s="1"/>
  <c r="H35" i="2" s="1"/>
  <c r="I35" i="2" s="1"/>
  <c r="P35" i="2" s="1"/>
  <c r="Q13" i="2" s="1"/>
  <c r="N12" i="2"/>
  <c r="N14" i="2" s="1"/>
  <c r="O12" i="2"/>
  <c r="O14" i="2" s="1"/>
  <c r="N11" i="2"/>
  <c r="O11" i="2"/>
  <c r="M11" i="2"/>
  <c r="N27" i="2"/>
  <c r="O27" i="2"/>
  <c r="P27" i="2" s="1"/>
  <c r="M27" i="2"/>
  <c r="N26" i="2"/>
  <c r="O26" i="2"/>
  <c r="P26" i="2" s="1"/>
  <c r="M26" i="2"/>
  <c r="N25" i="2"/>
  <c r="N4" i="2"/>
  <c r="N7" i="2" s="1"/>
  <c r="O4" i="2"/>
  <c r="O7" i="2" s="1"/>
  <c r="O25" i="2" s="1"/>
  <c r="P4" i="2"/>
  <c r="P20" i="2" s="1"/>
  <c r="Q4" i="2"/>
  <c r="Q20" i="2" s="1"/>
  <c r="M4" i="2"/>
  <c r="M7" i="2" s="1"/>
  <c r="M12" i="2" s="1"/>
  <c r="M14" i="2" s="1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4" i="1"/>
  <c r="R21" i="2" l="1"/>
  <c r="T3" i="2"/>
  <c r="S22" i="2"/>
  <c r="P11" i="2"/>
  <c r="Q11" i="2" s="1"/>
  <c r="R11" i="2" s="1"/>
  <c r="P32" i="2"/>
  <c r="Q32" i="2" s="1"/>
  <c r="R32" i="2" s="1"/>
  <c r="S4" i="2"/>
  <c r="S20" i="2" s="1"/>
  <c r="M16" i="2"/>
  <c r="M18" i="2" s="1"/>
  <c r="M23" i="2"/>
  <c r="N16" i="2"/>
  <c r="N18" i="2" s="1"/>
  <c r="N23" i="2"/>
  <c r="O16" i="2"/>
  <c r="O18" i="2" s="1"/>
  <c r="O23" i="2"/>
  <c r="P5" i="2"/>
  <c r="Q26" i="2"/>
  <c r="P6" i="2"/>
  <c r="Q27" i="2"/>
  <c r="M25" i="2"/>
  <c r="T21" i="2" l="1"/>
  <c r="S21" i="2"/>
  <c r="T4" i="2"/>
  <c r="T20" i="2" s="1"/>
  <c r="T22" i="2"/>
  <c r="S32" i="2"/>
  <c r="T32" i="2" s="1"/>
  <c r="S11" i="2"/>
  <c r="T11" i="2" s="1"/>
  <c r="P7" i="2"/>
  <c r="P25" i="2" s="1"/>
  <c r="R27" i="2"/>
  <c r="Q6" i="2"/>
  <c r="R26" i="2"/>
  <c r="Q5" i="2"/>
  <c r="Q7" i="2" s="1"/>
  <c r="P12" i="2" l="1"/>
  <c r="S26" i="2"/>
  <c r="R5" i="2"/>
  <c r="Q25" i="2"/>
  <c r="Q12" i="2"/>
  <c r="S27" i="2"/>
  <c r="R6" i="2"/>
  <c r="P14" i="2" l="1"/>
  <c r="P15" i="2" s="1"/>
  <c r="P16" i="2" s="1"/>
  <c r="P31" i="2" s="1"/>
  <c r="P33" i="2" s="1"/>
  <c r="P34" i="2" s="1"/>
  <c r="P28" i="2"/>
  <c r="Q14" i="2"/>
  <c r="Q15" i="2" s="1"/>
  <c r="Q16" i="2" s="1"/>
  <c r="Q31" i="2" s="1"/>
  <c r="Q33" i="2" s="1"/>
  <c r="Q34" i="2" s="1"/>
  <c r="Q28" i="2"/>
  <c r="Q18" i="2"/>
  <c r="Q35" i="2"/>
  <c r="P18" i="2"/>
  <c r="R7" i="2"/>
  <c r="T27" i="2"/>
  <c r="T6" i="2" s="1"/>
  <c r="S6" i="2"/>
  <c r="T26" i="2"/>
  <c r="T5" i="2" s="1"/>
  <c r="T7" i="2" s="1"/>
  <c r="S5" i="2"/>
  <c r="S7" i="2" l="1"/>
  <c r="R13" i="2"/>
  <c r="S25" i="2"/>
  <c r="S12" i="2"/>
  <c r="S28" i="2" s="1"/>
  <c r="R25" i="2"/>
  <c r="R12" i="2"/>
  <c r="T25" i="2"/>
  <c r="T12" i="2"/>
  <c r="T28" i="2" s="1"/>
  <c r="R14" i="2" l="1"/>
  <c r="R28" i="2"/>
  <c r="R15" i="2"/>
  <c r="R16" i="2"/>
  <c r="R35" i="2" l="1"/>
  <c r="S13" i="2" s="1"/>
  <c r="S14" i="2" s="1"/>
  <c r="S15" i="2" s="1"/>
  <c r="S16" i="2" s="1"/>
  <c r="R31" i="2"/>
  <c r="R33" i="2" s="1"/>
  <c r="S35" i="2"/>
  <c r="T13" i="2"/>
  <c r="T14" i="2" s="1"/>
  <c r="T15" i="2" s="1"/>
  <c r="T16" i="2" s="1"/>
  <c r="T31" i="2" s="1"/>
  <c r="T33" i="2" s="1"/>
  <c r="R18" i="2"/>
  <c r="T34" i="2" l="1"/>
  <c r="U33" i="2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R34" i="2"/>
  <c r="S18" i="2"/>
  <c r="S31" i="2"/>
  <c r="S33" i="2" s="1"/>
  <c r="S34" i="2" s="1"/>
  <c r="T18" i="2"/>
  <c r="U16" i="2"/>
  <c r="T35" i="2"/>
  <c r="W22" i="2" l="1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W23" i="2" l="1"/>
  <c r="W24" i="2" s="1"/>
</calcChain>
</file>

<file path=xl/sharedStrings.xml><?xml version="1.0" encoding="utf-8"?>
<sst xmlns="http://schemas.openxmlformats.org/spreadsheetml/2006/main" count="56" uniqueCount="49">
  <si>
    <t>MSFT</t>
  </si>
  <si>
    <t>Price</t>
  </si>
  <si>
    <t>Shares</t>
  </si>
  <si>
    <t>MC</t>
  </si>
  <si>
    <t>Cash</t>
  </si>
  <si>
    <t>Debt</t>
  </si>
  <si>
    <t>EV</t>
  </si>
  <si>
    <t>Q225</t>
  </si>
  <si>
    <t>Product</t>
  </si>
  <si>
    <t>Service</t>
  </si>
  <si>
    <t>Revenue</t>
  </si>
  <si>
    <t>Gross Profit</t>
  </si>
  <si>
    <t>Product COGS</t>
  </si>
  <si>
    <t>Service COGS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</si>
  <si>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</si>
  <si>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</si>
  <si>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</si>
  <si>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</si>
  <si>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</si>
  <si>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</si>
  <si>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</si>
  <si>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</si>
  <si>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Interest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</si>
  <si>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</si>
  <si>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</si>
  <si>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</si>
  <si>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</si>
  <si>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</si>
  <si>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</si>
  <si>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</si>
  <si>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</si>
  <si>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</si>
  <si>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</si>
  <si>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</si>
  <si>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</si>
  <si>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</si>
  <si>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</si>
  <si>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</si>
  <si>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Q325</t>
  </si>
  <si>
    <t>Q425</t>
  </si>
  <si>
    <t>Product GM</t>
  </si>
  <si>
    <t>Service GM</t>
  </si>
  <si>
    <t>ROIC</t>
  </si>
  <si>
    <t>Maturity</t>
  </si>
  <si>
    <t>Discount</t>
  </si>
  <si>
    <t>NPV</t>
  </si>
  <si>
    <t>Diff</t>
  </si>
  <si>
    <t>Product Growth</t>
  </si>
  <si>
    <t>Service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</si>
</sst>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28575</xdr:rowOff>
    </xdr:from>
    <xdr:to>
      <xdr:col>7</xdr:col>
      <xdr:colOff>9525</xdr:colOff>
      <xdr:row>40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EB0B72-FAA9-1790-D553-E73B2C1D5E3A}"/>
            </a:ext>
          </a:extLst>
        </xdr:cNvPr>
        <xdr:cNvCxnSpPr/>
      </xdr:nvCxnSpPr>
      <xdr:spPr>
        <a:xfrm>
          <a:off x="4800600" y="28575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9525</xdr:colOff>
      <xdr:row>39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80F9C07-3C4C-4592-A37D-78BA95D2433D}"/>
            </a:ext>
          </a:extLst>
        </xdr:cNvPr>
        <xdr:cNvCxnSpPr/>
      </xdr:nvCxnSpPr>
      <xdr:spPr>
        <a:xfrm>
          <a:off x="9677400" y="0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6702-02DD-4E96-B0C3-B680F054E789}">
  <dimension ref="A1:E7"/>
  <sheetViews>
    <sheetView zoomScale="220" zoomScaleNormal="220" workbookViewId="0">
      <selection activeCell="D3" sqref="D3"/>
    </sheetView>
  </sheetViews>
  <sheetFormatPr defaultRowHeight="14.25" x14ac:dyDescent="0.2"/>
  <cols>
    <col min="1" max="3" width="9.140625" style="9"/>
    <col min="4" max="4" width="10.28515625" style="9" bestFit="1" customWidth="1"/>
    <col min="5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460</v>
      </c>
    </row>
    <row r="3" spans="1:5" x14ac:dyDescent="0.2">
      <c r="C3" s="9" t="s">
        <v>2</v>
      </c>
      <c r="D3" s="1">
        <v>7433.982</v>
      </c>
      <c r="E3" s="9" t="s">
        <v>7</v>
      </c>
    </row>
    <row r="4" spans="1:5" x14ac:dyDescent="0.2">
      <c r="C4" s="9" t="s">
        <v>3</v>
      </c>
      <c r="D4" s="1">
        <f>D3*D2</f>
        <v>3419631.72</v>
      </c>
    </row>
    <row r="5" spans="1:5" x14ac:dyDescent="0.2">
      <c r="C5" s="9" t="s">
        <v>4</v>
      </c>
      <c r="D5" s="1">
        <f>17482+54073</f>
        <v>71555</v>
      </c>
      <c r="E5" s="9" t="s">
        <v>7</v>
      </c>
    </row>
    <row r="6" spans="1:5" x14ac:dyDescent="0.2">
      <c r="C6" s="9" t="s">
        <v>5</v>
      </c>
      <c r="D6" s="1">
        <f>39722+24389+2537+2513+17254+35906</f>
        <v>122321</v>
      </c>
      <c r="E6" s="9" t="s">
        <v>7</v>
      </c>
    </row>
    <row r="7" spans="1:5" x14ac:dyDescent="0.2">
      <c r="C7" s="9" t="s">
        <v>6</v>
      </c>
      <c r="D7" s="1">
        <f>D4+D6-D5</f>
        <v>3470397.72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64C4-4E59-4C6E-9629-E824C7D3CAE2}">
  <dimension ref="A1:DS39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25" x14ac:dyDescent="0.2"/>
  <cols>
    <col min="1" max="1" width="16.85546875" style="1" customWidth="1"/>
    <col min="2" max="2" width="9.42578125" style="1" customWidth="1"/>
    <col min="3" max="6" width="9.140625" style="1"/>
    <col min="7" max="9" width="9.28515625" style="1" bestFit="1" customWidth="1"/>
    <col min="10" max="10" width="9.140625" style="1"/>
    <col min="11" max="22" width="9.28515625" style="1" bestFit="1" customWidth="1"/>
    <col min="23" max="23" width="10.140625" style="1" bestFit="1" customWidth="1"/>
    <col min="24" max="123" width="9.28515625" style="1" bestFit="1" customWidth="1"/>
    <col min="124" max="16384" width="9.140625" style="1"/>
  </cols>
  <sheetData>
    <row r="1" spans="1:117" x14ac:dyDescent="0.2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7</v>
      </c>
      <c r="H1" s="1" t="s">
        <v>38</v>
      </c>
      <c r="I1" s="1" t="s">
        <v>39</v>
      </c>
      <c r="K1" s="2">
        <v>2020</v>
      </c>
      <c r="L1" s="2">
        <f>K1+1</f>
        <v>2021</v>
      </c>
      <c r="M1" s="2">
        <f t="shared" ref="M1:T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</row>
    <row r="2" spans="1:117" x14ac:dyDescent="0.2">
      <c r="A2" s="1" t="s">
        <v>8</v>
      </c>
      <c r="M2" s="1">
        <v>72732</v>
      </c>
      <c r="N2" s="1">
        <v>64699</v>
      </c>
      <c r="O2" s="1">
        <v>64773</v>
      </c>
      <c r="P2" s="1">
        <f>AVERAGE(M2:O2)</f>
        <v>67401.333333333328</v>
      </c>
      <c r="Q2" s="1">
        <f>P2*1.05</f>
        <v>70771.399999999994</v>
      </c>
      <c r="R2" s="1">
        <f t="shared" ref="R2:T2" si="1">Q2*1.05</f>
        <v>74309.97</v>
      </c>
      <c r="S2" s="1">
        <f t="shared" si="1"/>
        <v>78025.468500000003</v>
      </c>
      <c r="T2" s="1">
        <f t="shared" si="1"/>
        <v>81926.741925000009</v>
      </c>
    </row>
    <row r="3" spans="1:117" x14ac:dyDescent="0.2">
      <c r="A3" s="1" t="s">
        <v>9</v>
      </c>
      <c r="M3" s="1">
        <v>125538</v>
      </c>
      <c r="N3" s="1">
        <v>147216</v>
      </c>
      <c r="O3" s="1">
        <v>180349</v>
      </c>
      <c r="P3" s="1">
        <f>O3*1.25</f>
        <v>225436.25</v>
      </c>
      <c r="Q3" s="1">
        <f t="shared" ref="Q3:T3" si="2">P3*1.25</f>
        <v>281795.3125</v>
      </c>
      <c r="R3" s="1">
        <f t="shared" si="2"/>
        <v>352244.140625</v>
      </c>
      <c r="S3" s="1">
        <f t="shared" si="2"/>
        <v>440305.17578125</v>
      </c>
      <c r="T3" s="1">
        <f t="shared" si="2"/>
        <v>550381.4697265625</v>
      </c>
    </row>
    <row r="4" spans="1:117" s="3" customFormat="1" ht="15" x14ac:dyDescent="0.25">
      <c r="A4" s="3" t="s">
        <v>10</v>
      </c>
      <c r="M4" s="3">
        <f>SUM(M2:M3)</f>
        <v>198270</v>
      </c>
      <c r="N4" s="3">
        <f t="shared" ref="N4:T4" si="3">SUM(N2:N3)</f>
        <v>211915</v>
      </c>
      <c r="O4" s="3">
        <f t="shared" si="3"/>
        <v>245122</v>
      </c>
      <c r="P4" s="3">
        <f t="shared" si="3"/>
        <v>292837.58333333331</v>
      </c>
      <c r="Q4" s="3">
        <f t="shared" si="3"/>
        <v>352566.71250000002</v>
      </c>
      <c r="R4" s="3">
        <f t="shared" si="3"/>
        <v>426554.11062499997</v>
      </c>
      <c r="S4" s="3">
        <f t="shared" si="3"/>
        <v>518330.64428125002</v>
      </c>
      <c r="T4" s="3">
        <f t="shared" si="3"/>
        <v>632308.21165156248</v>
      </c>
    </row>
    <row r="5" spans="1:117" x14ac:dyDescent="0.2">
      <c r="A5" s="1" t="s">
        <v>12</v>
      </c>
      <c r="M5" s="1">
        <v>19064</v>
      </c>
      <c r="N5" s="1">
        <v>17804</v>
      </c>
      <c r="O5" s="1">
        <v>15272</v>
      </c>
      <c r="P5" s="1">
        <f>P2*(1-P26)</f>
        <v>15634.153052352063</v>
      </c>
      <c r="Q5" s="1">
        <f t="shared" ref="Q5:T5" si="4">Q2*(1-Q26)</f>
        <v>16144.083008494525</v>
      </c>
      <c r="R5" s="1">
        <f t="shared" si="4"/>
        <v>16664.493744713855</v>
      </c>
      <c r="S5" s="1">
        <f t="shared" si="4"/>
        <v>17195.079681609299</v>
      </c>
      <c r="T5" s="1">
        <f t="shared" si="4"/>
        <v>17735.474124393215</v>
      </c>
    </row>
    <row r="6" spans="1:117" x14ac:dyDescent="0.2">
      <c r="A6" s="1" t="s">
        <v>13</v>
      </c>
      <c r="M6" s="1">
        <v>43586</v>
      </c>
      <c r="N6" s="1">
        <v>48059</v>
      </c>
      <c r="O6" s="1">
        <v>58842</v>
      </c>
      <c r="P6" s="1">
        <f>P3*(1-P27)</f>
        <v>72793.081250000032</v>
      </c>
      <c r="Q6" s="1">
        <f t="shared" ref="Q6:T6" si="5">Q3*(1-Q27)</f>
        <v>90037.331757812557</v>
      </c>
      <c r="R6" s="1">
        <f t="shared" si="5"/>
        <v>111348.17731762705</v>
      </c>
      <c r="S6" s="1">
        <f t="shared" si="5"/>
        <v>137679.62187636274</v>
      </c>
      <c r="T6" s="1">
        <f t="shared" si="5"/>
        <v>170208.11763354792</v>
      </c>
    </row>
    <row r="7" spans="1:117" x14ac:dyDescent="0.2">
      <c r="A7" s="1" t="s">
        <v>11</v>
      </c>
      <c r="M7" s="1">
        <f>M4-SUM(M5:M6)</f>
        <v>135620</v>
      </c>
      <c r="N7" s="1">
        <f t="shared" ref="N7:O7" si="6">N4-SUM(N5:N6)</f>
        <v>146052</v>
      </c>
      <c r="O7" s="1">
        <f t="shared" si="6"/>
        <v>171008</v>
      </c>
      <c r="P7" s="1">
        <f t="shared" ref="P7" si="7">P4-SUM(P5:P6)</f>
        <v>204410.34903098122</v>
      </c>
      <c r="Q7" s="1">
        <f t="shared" ref="Q7" si="8">Q4-SUM(Q5:Q6)</f>
        <v>246385.29773369295</v>
      </c>
      <c r="R7" s="1">
        <f t="shared" ref="R7" si="9">R4-SUM(R5:R6)</f>
        <v>298541.43956265907</v>
      </c>
      <c r="S7" s="1">
        <f t="shared" ref="S7" si="10">S4-SUM(S5:S6)</f>
        <v>363455.94272327796</v>
      </c>
      <c r="T7" s="1">
        <f t="shared" ref="T7" si="11">T4-SUM(T5:T6)</f>
        <v>444364.6198936213</v>
      </c>
    </row>
    <row r="8" spans="1:117" x14ac:dyDescent="0.2">
      <c r="A8" s="1" t="s">
        <v>14</v>
      </c>
      <c r="M8" s="1">
        <v>24512</v>
      </c>
      <c r="N8" s="1">
        <v>27195</v>
      </c>
      <c r="O8" s="1">
        <v>29510</v>
      </c>
    </row>
    <row r="9" spans="1:117" x14ac:dyDescent="0.2">
      <c r="A9" s="1" t="s">
        <v>15</v>
      </c>
      <c r="M9" s="1">
        <v>21825</v>
      </c>
      <c r="N9" s="1">
        <v>22759</v>
      </c>
      <c r="O9" s="1">
        <v>24456</v>
      </c>
    </row>
    <row r="10" spans="1:117" x14ac:dyDescent="0.2">
      <c r="A10" s="1" t="s">
        <v>16</v>
      </c>
      <c r="M10" s="1">
        <v>5900</v>
      </c>
      <c r="N10" s="1">
        <v>7575</v>
      </c>
      <c r="O10" s="1">
        <v>7609</v>
      </c>
    </row>
    <row r="11" spans="1:117" x14ac:dyDescent="0.2">
      <c r="A11" s="1" t="s">
        <v>17</v>
      </c>
      <c r="M11" s="1">
        <f>SUM(M8:M10)</f>
        <v>52237</v>
      </c>
      <c r="N11" s="1">
        <f t="shared" ref="N11:O11" si="12">SUM(N8:N10)</f>
        <v>57529</v>
      </c>
      <c r="O11" s="1">
        <f t="shared" si="12"/>
        <v>61575</v>
      </c>
      <c r="P11" s="1">
        <f>O11*(1+P20)</f>
        <v>73561.223365303798</v>
      </c>
      <c r="Q11" s="1">
        <f t="shared" ref="Q11:T11" si="13">P11*(1+Q20)</f>
        <v>88565.266774045158</v>
      </c>
      <c r="R11" s="1">
        <f t="shared" si="13"/>
        <v>107151.0079133426</v>
      </c>
      <c r="S11" s="1">
        <f t="shared" si="13"/>
        <v>130205.40555975375</v>
      </c>
      <c r="T11" s="1">
        <f t="shared" si="13"/>
        <v>158836.73490117144</v>
      </c>
    </row>
    <row r="12" spans="1:117" x14ac:dyDescent="0.2">
      <c r="A12" s="1" t="s">
        <v>18</v>
      </c>
      <c r="M12" s="1">
        <f>M7-M11</f>
        <v>83383</v>
      </c>
      <c r="N12" s="1">
        <f t="shared" ref="N12:T12" si="14">N7-N11</f>
        <v>88523</v>
      </c>
      <c r="O12" s="1">
        <f t="shared" si="14"/>
        <v>109433</v>
      </c>
      <c r="P12" s="1">
        <f t="shared" si="14"/>
        <v>130849.12566567742</v>
      </c>
      <c r="Q12" s="1">
        <f t="shared" si="14"/>
        <v>157820.03095964779</v>
      </c>
      <c r="R12" s="1">
        <f t="shared" si="14"/>
        <v>191390.43164931645</v>
      </c>
      <c r="S12" s="1">
        <f t="shared" si="14"/>
        <v>233250.53716352419</v>
      </c>
      <c r="T12" s="1">
        <f t="shared" si="14"/>
        <v>285527.88499244989</v>
      </c>
    </row>
    <row r="13" spans="1:117" x14ac:dyDescent="0.2">
      <c r="A13" s="1" t="s">
        <v>22</v>
      </c>
      <c r="M13" s="1">
        <v>333</v>
      </c>
      <c r="N13" s="1">
        <v>788</v>
      </c>
      <c r="O13" s="1">
        <v>-1646</v>
      </c>
      <c r="P13" s="1">
        <f>SUM(F13:I13)</f>
        <v>0</v>
      </c>
      <c r="Q13" s="1">
        <f>P35*$W$19</f>
        <v>-2030.64</v>
      </c>
      <c r="R13" s="1">
        <f>Q35*$W$19</f>
        <v>3016.9362670925875</v>
      </c>
      <c r="S13" s="1">
        <f>R35*$W$19</f>
        <v>9315.734987584241</v>
      </c>
      <c r="T13" s="1">
        <f>S35*$W$19</f>
        <v>17174.882205280155</v>
      </c>
    </row>
    <row r="14" spans="1:117" x14ac:dyDescent="0.2">
      <c r="A14" s="1" t="s">
        <v>19</v>
      </c>
      <c r="M14" s="1">
        <f>M12+M13</f>
        <v>83716</v>
      </c>
      <c r="N14" s="1">
        <f t="shared" ref="N14:T14" si="15">N12+N13</f>
        <v>89311</v>
      </c>
      <c r="O14" s="1">
        <f t="shared" si="15"/>
        <v>107787</v>
      </c>
      <c r="P14" s="1">
        <f t="shared" si="15"/>
        <v>130849.12566567742</v>
      </c>
      <c r="Q14" s="1">
        <f t="shared" si="15"/>
        <v>155789.39095964778</v>
      </c>
      <c r="R14" s="1">
        <f t="shared" si="15"/>
        <v>194407.36791640904</v>
      </c>
      <c r="S14" s="1">
        <f t="shared" si="15"/>
        <v>242566.27215110842</v>
      </c>
      <c r="T14" s="1">
        <f t="shared" si="15"/>
        <v>302702.76719773002</v>
      </c>
    </row>
    <row r="15" spans="1:117" x14ac:dyDescent="0.2">
      <c r="A15" s="1" t="s">
        <v>20</v>
      </c>
      <c r="M15" s="1">
        <v>10978</v>
      </c>
      <c r="N15" s="1">
        <v>16950</v>
      </c>
      <c r="O15" s="1">
        <v>19651</v>
      </c>
      <c r="P15" s="1">
        <f>P14*P23</f>
        <v>24861.333876478711</v>
      </c>
      <c r="Q15" s="1">
        <f t="shared" ref="Q15:T15" si="16">Q14*Q23</f>
        <v>29599.984282333076</v>
      </c>
      <c r="R15" s="1">
        <f t="shared" si="16"/>
        <v>36937.399904117716</v>
      </c>
      <c r="S15" s="1">
        <f t="shared" si="16"/>
        <v>46087.591708710599</v>
      </c>
      <c r="T15" s="1">
        <f t="shared" si="16"/>
        <v>57513.525767568703</v>
      </c>
    </row>
    <row r="16" spans="1:117" s="3" customFormat="1" ht="15" x14ac:dyDescent="0.25">
      <c r="A16" s="3" t="s">
        <v>21</v>
      </c>
      <c r="M16" s="3">
        <f>M14-M15</f>
        <v>72738</v>
      </c>
      <c r="N16" s="3">
        <f t="shared" ref="N16:T16" si="17">N14-N15</f>
        <v>72361</v>
      </c>
      <c r="O16" s="3">
        <f t="shared" si="17"/>
        <v>88136</v>
      </c>
      <c r="P16" s="3">
        <f t="shared" si="17"/>
        <v>105987.7917891987</v>
      </c>
      <c r="Q16" s="3">
        <f t="shared" si="17"/>
        <v>126189.40667731469</v>
      </c>
      <c r="R16" s="3">
        <f t="shared" si="17"/>
        <v>157469.96801229133</v>
      </c>
      <c r="S16" s="3">
        <f t="shared" si="17"/>
        <v>196478.68044239783</v>
      </c>
      <c r="T16" s="3">
        <f t="shared" si="17"/>
        <v>245189.24143016132</v>
      </c>
      <c r="U16" s="3">
        <f t="shared" ref="U16:AZ16" si="18">T16*(1+$W$20)</f>
        <v>250093.02625876456</v>
      </c>
      <c r="V16" s="3">
        <f t="shared" si="18"/>
        <v>255094.88678393984</v>
      </c>
      <c r="W16" s="3">
        <f t="shared" si="18"/>
        <v>260196.78451961864</v>
      </c>
      <c r="X16" s="3">
        <f t="shared" si="18"/>
        <v>265400.720210011</v>
      </c>
      <c r="Y16" s="3">
        <f t="shared" si="18"/>
        <v>270708.73461421125</v>
      </c>
      <c r="Z16" s="3">
        <f t="shared" si="18"/>
        <v>276122.90930649551</v>
      </c>
      <c r="AA16" s="3">
        <f t="shared" si="18"/>
        <v>281645.36749262543</v>
      </c>
      <c r="AB16" s="3">
        <f t="shared" si="18"/>
        <v>287278.27484247793</v>
      </c>
      <c r="AC16" s="3">
        <f t="shared" si="18"/>
        <v>293023.84033932746</v>
      </c>
      <c r="AD16" s="3">
        <f t="shared" si="18"/>
        <v>298884.31714611402</v>
      </c>
      <c r="AE16" s="3">
        <f t="shared" si="18"/>
        <v>304862.00348903629</v>
      </c>
      <c r="AF16" s="3">
        <f t="shared" si="18"/>
        <v>310959.24355881702</v>
      </c>
      <c r="AG16" s="3">
        <f t="shared" si="18"/>
        <v>317178.42842999339</v>
      </c>
      <c r="AH16" s="3">
        <f t="shared" si="18"/>
        <v>323521.99699859327</v>
      </c>
      <c r="AI16" s="3">
        <f t="shared" si="18"/>
        <v>329992.43693856517</v>
      </c>
      <c r="AJ16" s="3">
        <f t="shared" si="18"/>
        <v>336592.28567733645</v>
      </c>
      <c r="AK16" s="3">
        <f t="shared" si="18"/>
        <v>343324.13139088318</v>
      </c>
      <c r="AL16" s="3">
        <f t="shared" si="18"/>
        <v>350190.61401870084</v>
      </c>
      <c r="AM16" s="3">
        <f t="shared" si="18"/>
        <v>357194.42629907484</v>
      </c>
      <c r="AN16" s="3">
        <f t="shared" si="18"/>
        <v>364338.31482505635</v>
      </c>
      <c r="AO16" s="3">
        <f t="shared" si="18"/>
        <v>371625.08112155751</v>
      </c>
      <c r="AP16" s="3">
        <f t="shared" si="18"/>
        <v>379057.58274398866</v>
      </c>
      <c r="AQ16" s="3">
        <f t="shared" si="18"/>
        <v>386638.73439886846</v>
      </c>
      <c r="AR16" s="3">
        <f t="shared" si="18"/>
        <v>394371.50908684585</v>
      </c>
      <c r="AS16" s="3">
        <f t="shared" si="18"/>
        <v>402258.93926858279</v>
      </c>
      <c r="AT16" s="3">
        <f t="shared" si="18"/>
        <v>410304.11805395444</v>
      </c>
      <c r="AU16" s="3">
        <f t="shared" si="18"/>
        <v>418510.20041503356</v>
      </c>
      <c r="AV16" s="3">
        <f t="shared" si="18"/>
        <v>426880.40442333423</v>
      </c>
      <c r="AW16" s="3">
        <f t="shared" si="18"/>
        <v>435418.01251180092</v>
      </c>
      <c r="AX16" s="3">
        <f t="shared" si="18"/>
        <v>444126.37276203692</v>
      </c>
      <c r="AY16" s="3">
        <f t="shared" si="18"/>
        <v>453008.90021727764</v>
      </c>
      <c r="AZ16" s="3">
        <f t="shared" si="18"/>
        <v>462069.0782216232</v>
      </c>
      <c r="BA16" s="3">
        <f t="shared" ref="BA16:CF16" si="19">AZ16*(1+$W$20)</f>
        <v>471310.45978605567</v>
      </c>
      <c r="BB16" s="3">
        <f t="shared" si="19"/>
        <v>480736.66898177681</v>
      </c>
      <c r="BC16" s="3">
        <f t="shared" si="19"/>
        <v>490351.40236141236</v>
      </c>
      <c r="BD16" s="3">
        <f t="shared" si="19"/>
        <v>500158.43040864059</v>
      </c>
      <c r="BE16" s="3">
        <f t="shared" si="19"/>
        <v>510161.59901681339</v>
      </c>
      <c r="BF16" s="3">
        <f t="shared" si="19"/>
        <v>520364.83099714963</v>
      </c>
      <c r="BG16" s="3">
        <f t="shared" si="19"/>
        <v>530772.12761709269</v>
      </c>
      <c r="BH16" s="3">
        <f t="shared" si="19"/>
        <v>541387.57016943453</v>
      </c>
      <c r="BI16" s="3">
        <f t="shared" si="19"/>
        <v>552215.32157282322</v>
      </c>
      <c r="BJ16" s="3">
        <f t="shared" si="19"/>
        <v>563259.62800427969</v>
      </c>
      <c r="BK16" s="3">
        <f t="shared" si="19"/>
        <v>574524.82056436525</v>
      </c>
      <c r="BL16" s="3">
        <f t="shared" si="19"/>
        <v>586015.31697565259</v>
      </c>
      <c r="BM16" s="3">
        <f t="shared" si="19"/>
        <v>597735.62331516563</v>
      </c>
      <c r="BN16" s="3">
        <f t="shared" si="19"/>
        <v>609690.33578146901</v>
      </c>
      <c r="BO16" s="3">
        <f t="shared" si="19"/>
        <v>621884.14249709842</v>
      </c>
      <c r="BP16" s="3">
        <f t="shared" si="19"/>
        <v>634321.82534704043</v>
      </c>
      <c r="BQ16" s="3">
        <f t="shared" si="19"/>
        <v>647008.2618539813</v>
      </c>
      <c r="BR16" s="3">
        <f t="shared" si="19"/>
        <v>659948.4270910609</v>
      </c>
      <c r="BS16" s="3">
        <f t="shared" si="19"/>
        <v>673147.39563288214</v>
      </c>
      <c r="BT16" s="3">
        <f t="shared" si="19"/>
        <v>686610.34354553977</v>
      </c>
      <c r="BU16" s="3">
        <f t="shared" si="19"/>
        <v>700342.5504164506</v>
      </c>
      <c r="BV16" s="3">
        <f t="shared" si="19"/>
        <v>714349.40142477967</v>
      </c>
      <c r="BW16" s="3">
        <f t="shared" si="19"/>
        <v>728636.38945327525</v>
      </c>
      <c r="BX16" s="3">
        <f t="shared" si="19"/>
        <v>743209.11724234081</v>
      </c>
      <c r="BY16" s="3">
        <f t="shared" si="19"/>
        <v>758073.29958718759</v>
      </c>
      <c r="BZ16" s="3">
        <f t="shared" si="19"/>
        <v>773234.76557893131</v>
      </c>
      <c r="CA16" s="3">
        <f t="shared" si="19"/>
        <v>788699.46089051</v>
      </c>
      <c r="CB16" s="3">
        <f t="shared" si="19"/>
        <v>804473.45010832022</v>
      </c>
      <c r="CC16" s="3">
        <f t="shared" si="19"/>
        <v>820562.91911048663</v>
      </c>
      <c r="CD16" s="3">
        <f t="shared" si="19"/>
        <v>836974.17749269633</v>
      </c>
      <c r="CE16" s="3">
        <f t="shared" si="19"/>
        <v>853713.66104255023</v>
      </c>
      <c r="CF16" s="3">
        <f t="shared" si="19"/>
        <v>870787.9342634012</v>
      </c>
      <c r="CG16" s="3">
        <f t="shared" ref="CG16:DM16" si="20">CF16*(1+$W$20)</f>
        <v>888203.6929486692</v>
      </c>
      <c r="CH16" s="3">
        <f t="shared" si="20"/>
        <v>905967.76680764265</v>
      </c>
      <c r="CI16" s="3">
        <f t="shared" si="20"/>
        <v>924087.12214379548</v>
      </c>
      <c r="CJ16" s="3">
        <f t="shared" si="20"/>
        <v>942568.86458667147</v>
      </c>
      <c r="CK16" s="3">
        <f t="shared" si="20"/>
        <v>961420.24187840486</v>
      </c>
      <c r="CL16" s="3">
        <f t="shared" si="20"/>
        <v>980648.64671597292</v>
      </c>
      <c r="CM16" s="3">
        <f t="shared" si="20"/>
        <v>1000261.6196502924</v>
      </c>
      <c r="CN16" s="3">
        <f t="shared" si="20"/>
        <v>1020266.8520432983</v>
      </c>
      <c r="CO16" s="3">
        <f t="shared" si="20"/>
        <v>1040672.1890841643</v>
      </c>
      <c r="CP16" s="3">
        <f t="shared" si="20"/>
        <v>1061485.6328658476</v>
      </c>
      <c r="CQ16" s="3">
        <f t="shared" si="20"/>
        <v>1082715.3455231646</v>
      </c>
      <c r="CR16" s="3">
        <f t="shared" si="20"/>
        <v>1104369.652433628</v>
      </c>
      <c r="CS16" s="3">
        <f t="shared" si="20"/>
        <v>1126457.0454823005</v>
      </c>
      <c r="CT16" s="3">
        <f t="shared" si="20"/>
        <v>1148986.1863919464</v>
      </c>
      <c r="CU16" s="3">
        <f t="shared" si="20"/>
        <v>1171965.9101197852</v>
      </c>
      <c r="CV16" s="3">
        <f t="shared" si="20"/>
        <v>1195405.2283221809</v>
      </c>
      <c r="CW16" s="3">
        <f t="shared" si="20"/>
        <v>1219313.3328886246</v>
      </c>
      <c r="CX16" s="3">
        <f t="shared" si="20"/>
        <v>1243699.5995463971</v>
      </c>
      <c r="CY16" s="3">
        <f t="shared" si="20"/>
        <v>1268573.5915373252</v>
      </c>
      <c r="CZ16" s="3">
        <f t="shared" si="20"/>
        <v>1293945.0633680718</v>
      </c>
      <c r="DA16" s="3">
        <f t="shared" si="20"/>
        <v>1319823.9646354332</v>
      </c>
      <c r="DB16" s="3">
        <f t="shared" si="20"/>
        <v>1346220.4439281418</v>
      </c>
      <c r="DC16" s="3">
        <f t="shared" si="20"/>
        <v>1373144.8528067048</v>
      </c>
      <c r="DD16" s="3">
        <f t="shared" si="20"/>
        <v>1400607.749862839</v>
      </c>
      <c r="DE16" s="3">
        <f t="shared" si="20"/>
        <v>1428619.9048600958</v>
      </c>
      <c r="DF16" s="3">
        <f t="shared" si="20"/>
        <v>1457192.3029572978</v>
      </c>
      <c r="DG16" s="3">
        <f t="shared" si="20"/>
        <v>1486336.1490164436</v>
      </c>
      <c r="DH16" s="3">
        <f t="shared" si="20"/>
        <v>1516062.8719967725</v>
      </c>
      <c r="DI16" s="3">
        <f t="shared" si="20"/>
        <v>1546384.1294367081</v>
      </c>
      <c r="DJ16" s="3">
        <f t="shared" si="20"/>
        <v>1577311.8120254423</v>
      </c>
      <c r="DK16" s="3">
        <f t="shared" si="20"/>
        <v>1608858.0482659512</v>
      </c>
      <c r="DL16" s="3">
        <f t="shared" si="20"/>
        <v>1641035.2092312702</v>
      </c>
      <c r="DM16" s="3">
        <f t="shared" si="20"/>
        <v>1673855.9134158958</v>
      </c>
    </row>
    <row r="17" spans="1:23" x14ac:dyDescent="0.2">
      <c r="A17" s="1" t="s">
        <v>2</v>
      </c>
      <c r="M17" s="1">
        <v>7540</v>
      </c>
      <c r="N17" s="1">
        <v>7472</v>
      </c>
      <c r="O17" s="1">
        <v>7469</v>
      </c>
      <c r="P17" s="1">
        <v>7469</v>
      </c>
      <c r="Q17" s="1">
        <v>7469</v>
      </c>
      <c r="R17" s="1">
        <v>7469</v>
      </c>
      <c r="S17" s="1">
        <v>7469</v>
      </c>
      <c r="T17" s="1">
        <v>7469</v>
      </c>
    </row>
    <row r="18" spans="1:23" x14ac:dyDescent="0.2">
      <c r="A18" s="1" t="s">
        <v>23</v>
      </c>
      <c r="M18" s="4">
        <f>M16/M17</f>
        <v>9.6469496021220156</v>
      </c>
      <c r="N18" s="4">
        <f t="shared" ref="N18:T18" si="21">N16/N17</f>
        <v>9.6842880085653107</v>
      </c>
      <c r="O18" s="4">
        <f t="shared" si="21"/>
        <v>11.800240996117285</v>
      </c>
      <c r="P18" s="4">
        <f t="shared" si="21"/>
        <v>14.190359055991257</v>
      </c>
      <c r="Q18" s="4">
        <f t="shared" si="21"/>
        <v>16.895087250945867</v>
      </c>
      <c r="R18" s="4">
        <f t="shared" si="21"/>
        <v>21.083139377733474</v>
      </c>
      <c r="S18" s="4">
        <f t="shared" si="21"/>
        <v>26.305888397696858</v>
      </c>
      <c r="T18" s="4">
        <f t="shared" si="21"/>
        <v>32.827586213704819</v>
      </c>
    </row>
    <row r="19" spans="1:23" x14ac:dyDescent="0.2">
      <c r="V19" s="1" t="s">
        <v>42</v>
      </c>
      <c r="W19" s="5">
        <v>0.04</v>
      </c>
    </row>
    <row r="20" spans="1:23" s="3" customFormat="1" ht="15" x14ac:dyDescent="0.25">
      <c r="A20" s="3" t="s">
        <v>24</v>
      </c>
      <c r="N20" s="6">
        <f t="shared" ref="N20:T20" si="22">N4/M4-1</f>
        <v>6.8820295556564215E-2</v>
      </c>
      <c r="O20" s="6">
        <f t="shared" si="22"/>
        <v>0.1566996201307127</v>
      </c>
      <c r="P20" s="6">
        <f t="shared" si="22"/>
        <v>0.19466054998463345</v>
      </c>
      <c r="Q20" s="6">
        <f t="shared" si="22"/>
        <v>0.2039667466408428</v>
      </c>
      <c r="R20" s="6">
        <f t="shared" si="22"/>
        <v>0.20985361210185127</v>
      </c>
      <c r="S20" s="6">
        <f t="shared" si="22"/>
        <v>0.2151580101332895</v>
      </c>
      <c r="T20" s="6">
        <f t="shared" si="22"/>
        <v>0.2198935537148512</v>
      </c>
      <c r="V20" s="1" t="s">
        <v>43</v>
      </c>
      <c r="W20" s="5">
        <v>0.02</v>
      </c>
    </row>
    <row r="21" spans="1:23" s="3" customFormat="1" ht="15" x14ac:dyDescent="0.25">
      <c r="A21" s="1" t="s">
        <v>47</v>
      </c>
      <c r="N21" s="6">
        <f>N2/M2-1</f>
        <v>-0.11044657097288679</v>
      </c>
      <c r="O21" s="6">
        <f>O2/N2-1</f>
        <v>1.1437580178983442E-3</v>
      </c>
      <c r="P21" s="6">
        <f t="shared" ref="P21:T21" si="23">P2/O2-1</f>
        <v>4.0577606924695919E-2</v>
      </c>
      <c r="Q21" s="6">
        <f t="shared" si="23"/>
        <v>5.0000000000000044E-2</v>
      </c>
      <c r="R21" s="6">
        <f t="shared" si="23"/>
        <v>5.0000000000000044E-2</v>
      </c>
      <c r="S21" s="6">
        <f t="shared" si="23"/>
        <v>5.0000000000000044E-2</v>
      </c>
      <c r="T21" s="6">
        <f t="shared" si="23"/>
        <v>5.0000000000000044E-2</v>
      </c>
      <c r="V21" s="1" t="s">
        <v>44</v>
      </c>
      <c r="W21" s="5">
        <v>0.08</v>
      </c>
    </row>
    <row r="22" spans="1:23" s="3" customFormat="1" ht="15" x14ac:dyDescent="0.25">
      <c r="A22" s="1" t="s">
        <v>48</v>
      </c>
      <c r="M22" s="6"/>
      <c r="N22" s="6">
        <f>N3/M3-1</f>
        <v>0.17268078191463943</v>
      </c>
      <c r="O22" s="6">
        <f>O3/N3-1</f>
        <v>0.2250638517552439</v>
      </c>
      <c r="P22" s="6">
        <f t="shared" ref="P22:T22" si="24">P3/O3-1</f>
        <v>0.25</v>
      </c>
      <c r="Q22" s="6">
        <f t="shared" si="24"/>
        <v>0.25</v>
      </c>
      <c r="R22" s="6">
        <f t="shared" si="24"/>
        <v>0.25</v>
      </c>
      <c r="S22" s="6">
        <f t="shared" si="24"/>
        <v>0.25</v>
      </c>
      <c r="T22" s="6">
        <f t="shared" si="24"/>
        <v>0.25</v>
      </c>
      <c r="V22" s="1" t="s">
        <v>45</v>
      </c>
      <c r="W22" s="3">
        <f>NPV(W21,P33:XFD33)+Sheet1!D5-Sheet1!D6</f>
        <v>3092560.6900336547</v>
      </c>
    </row>
    <row r="23" spans="1:23" x14ac:dyDescent="0.2">
      <c r="A23" s="1" t="s">
        <v>25</v>
      </c>
      <c r="M23" s="7">
        <f>M15/M14</f>
        <v>0.13113383343685794</v>
      </c>
      <c r="N23" s="7">
        <f t="shared" ref="N23:O23" si="25">N15/N14</f>
        <v>0.18978625253328257</v>
      </c>
      <c r="O23" s="7">
        <f t="shared" si="25"/>
        <v>0.18231326597827197</v>
      </c>
      <c r="P23" s="7">
        <v>0.19</v>
      </c>
      <c r="Q23" s="7">
        <v>0.19</v>
      </c>
      <c r="R23" s="7">
        <v>0.19</v>
      </c>
      <c r="S23" s="7">
        <v>0.19</v>
      </c>
      <c r="T23" s="7">
        <v>0.19</v>
      </c>
      <c r="V23" s="1" t="s">
        <v>1</v>
      </c>
      <c r="W23" s="1">
        <f>W22/Sheet1!D3</f>
        <v>416.00325236645108</v>
      </c>
    </row>
    <row r="24" spans="1:23" x14ac:dyDescent="0.2">
      <c r="V24" s="1" t="s">
        <v>46</v>
      </c>
      <c r="W24" s="7">
        <f>W23/Sheet1!D2-1</f>
        <v>-9.5645103551193267E-2</v>
      </c>
    </row>
    <row r="25" spans="1:23" s="3" customFormat="1" ht="15" x14ac:dyDescent="0.25">
      <c r="A25" s="3" t="s">
        <v>26</v>
      </c>
      <c r="M25" s="6">
        <f>M7/M4</f>
        <v>0.68401674484289099</v>
      </c>
      <c r="N25" s="6">
        <f t="shared" ref="N25:T25" si="26">N7/N4</f>
        <v>0.68920085883491022</v>
      </c>
      <c r="O25" s="6">
        <f t="shared" si="26"/>
        <v>0.69764443827971379</v>
      </c>
      <c r="P25" s="6">
        <f t="shared" si="26"/>
        <v>0.69803317833798506</v>
      </c>
      <c r="Q25" s="6">
        <f t="shared" si="26"/>
        <v>0.69883312575543532</v>
      </c>
      <c r="R25" s="6">
        <f t="shared" si="26"/>
        <v>0.69989113251124724</v>
      </c>
      <c r="S25" s="6">
        <f t="shared" si="26"/>
        <v>0.70120481343963159</v>
      </c>
      <c r="T25" s="6">
        <f t="shared" si="26"/>
        <v>0.70276585327424357</v>
      </c>
    </row>
    <row r="26" spans="1:23" s="3" customFormat="1" ht="15" x14ac:dyDescent="0.25">
      <c r="A26" s="1" t="s">
        <v>40</v>
      </c>
      <c r="M26" s="7">
        <f>1-M5/M2</f>
        <v>0.73788703734257277</v>
      </c>
      <c r="N26" s="7">
        <f t="shared" ref="N26:O26" si="27">1-N5/N2</f>
        <v>0.72481800336944935</v>
      </c>
      <c r="O26" s="7">
        <f t="shared" si="27"/>
        <v>0.76422274713229277</v>
      </c>
      <c r="P26" s="7">
        <f>O26*1.005</f>
        <v>0.76804386086795418</v>
      </c>
      <c r="Q26" s="7">
        <f t="shared" ref="Q26:T26" si="28">P26*1.005</f>
        <v>0.77188408017229382</v>
      </c>
      <c r="R26" s="7">
        <f t="shared" si="28"/>
        <v>0.77574350057315522</v>
      </c>
      <c r="S26" s="7">
        <f t="shared" si="28"/>
        <v>0.77962221807602095</v>
      </c>
      <c r="T26" s="7">
        <f t="shared" si="28"/>
        <v>0.78352032916640102</v>
      </c>
    </row>
    <row r="27" spans="1:23" s="3" customFormat="1" ht="15" x14ac:dyDescent="0.25">
      <c r="A27" s="1" t="s">
        <v>41</v>
      </c>
      <c r="M27" s="7">
        <f>1-M6/M3</f>
        <v>0.65280632159186858</v>
      </c>
      <c r="N27" s="7">
        <f t="shared" ref="N27:O27" si="29">1-N6/N3</f>
        <v>0.67354771220519516</v>
      </c>
      <c r="O27" s="7">
        <f t="shared" si="29"/>
        <v>0.67373259624394921</v>
      </c>
      <c r="P27" s="7">
        <f>O27*1.005</f>
        <v>0.67710125922516884</v>
      </c>
      <c r="Q27" s="7">
        <f t="shared" ref="Q27:T27" si="30">P27*1.005</f>
        <v>0.68048676552129461</v>
      </c>
      <c r="R27" s="7">
        <f t="shared" si="30"/>
        <v>0.68388919934890102</v>
      </c>
      <c r="S27" s="7">
        <f t="shared" si="30"/>
        <v>0.68730864534564551</v>
      </c>
      <c r="T27" s="7">
        <f t="shared" si="30"/>
        <v>0.69074518857237366</v>
      </c>
    </row>
    <row r="28" spans="1:23" x14ac:dyDescent="0.2">
      <c r="A28" s="1" t="s">
        <v>27</v>
      </c>
      <c r="M28" s="7">
        <f>M12/M4</f>
        <v>0.4205527815604983</v>
      </c>
      <c r="N28" s="7">
        <f t="shared" ref="N28:T28" si="31">N12/N4</f>
        <v>0.41772880636104098</v>
      </c>
      <c r="O28" s="7">
        <f t="shared" si="31"/>
        <v>0.44644299573273716</v>
      </c>
      <c r="P28" s="7">
        <f t="shared" si="31"/>
        <v>0.44683173579100849</v>
      </c>
      <c r="Q28" s="7">
        <f t="shared" si="31"/>
        <v>0.44763168320845881</v>
      </c>
      <c r="R28" s="7">
        <f t="shared" si="31"/>
        <v>0.44868968996427067</v>
      </c>
      <c r="S28" s="7">
        <f t="shared" si="31"/>
        <v>0.45000337089265502</v>
      </c>
      <c r="T28" s="7">
        <f t="shared" si="31"/>
        <v>0.45156441072726711</v>
      </c>
    </row>
    <row r="29" spans="1:23" x14ac:dyDescent="0.2">
      <c r="A29" s="1" t="s">
        <v>28</v>
      </c>
    </row>
    <row r="30" spans="1:23" x14ac:dyDescent="0.2">
      <c r="M30" s="7">
        <f>M31/M16</f>
        <v>1.224050702521378</v>
      </c>
      <c r="N30" s="7">
        <f>N31/N16</f>
        <v>1.2103481156976825</v>
      </c>
      <c r="O30" s="7">
        <f>O31/O16</f>
        <v>1.3450576381955159</v>
      </c>
      <c r="P30" s="7">
        <f>O30*1.005</f>
        <v>1.3517829263864933</v>
      </c>
      <c r="Q30" s="7">
        <f t="shared" ref="Q30:T30" si="32">P30*1.005</f>
        <v>1.3585418410184256</v>
      </c>
      <c r="R30" s="7">
        <f t="shared" si="32"/>
        <v>1.3653345502235175</v>
      </c>
      <c r="S30" s="7">
        <f t="shared" si="32"/>
        <v>1.3721612229746349</v>
      </c>
      <c r="T30" s="7">
        <f t="shared" si="32"/>
        <v>1.3790220290895079</v>
      </c>
    </row>
    <row r="31" spans="1:23" x14ac:dyDescent="0.2">
      <c r="A31" s="1" t="s">
        <v>29</v>
      </c>
      <c r="M31" s="1">
        <v>89035</v>
      </c>
      <c r="N31" s="1">
        <v>87582</v>
      </c>
      <c r="O31" s="1">
        <v>118548</v>
      </c>
      <c r="P31" s="1">
        <f>P30*P16</f>
        <v>143272.48734604538</v>
      </c>
      <c r="Q31" s="1">
        <f t="shared" ref="Q31:T31" si="33">Q30*Q16</f>
        <v>171433.58886442191</v>
      </c>
      <c r="R31" s="1">
        <f t="shared" si="33"/>
        <v>214999.18794977345</v>
      </c>
      <c r="S31" s="1">
        <f t="shared" si="33"/>
        <v>269600.4264442831</v>
      </c>
      <c r="T31" s="1">
        <f t="shared" si="33"/>
        <v>338121.36522793828</v>
      </c>
    </row>
    <row r="32" spans="1:23" x14ac:dyDescent="0.2">
      <c r="A32" s="1" t="s">
        <v>30</v>
      </c>
      <c r="M32" s="1">
        <v>23886</v>
      </c>
      <c r="N32" s="1">
        <v>28107</v>
      </c>
      <c r="O32" s="1">
        <v>44477</v>
      </c>
      <c r="P32" s="1">
        <f>O32*(1+P20)</f>
        <v>53134.917281666545</v>
      </c>
      <c r="Q32" s="1">
        <f t="shared" ref="Q32:T32" si="34">P32*(1+Q20)</f>
        <v>63972.673492638365</v>
      </c>
      <c r="R32" s="1">
        <f t="shared" si="34"/>
        <v>77397.570100880883</v>
      </c>
      <c r="S32" s="1">
        <f t="shared" si="34"/>
        <v>94050.277272938198</v>
      </c>
      <c r="T32" s="1">
        <f t="shared" si="34"/>
        <v>114731.32697035169</v>
      </c>
    </row>
    <row r="33" spans="1:123" s="3" customFormat="1" ht="15" x14ac:dyDescent="0.25">
      <c r="A33" s="3" t="s">
        <v>31</v>
      </c>
      <c r="M33" s="3">
        <f>M31-M32</f>
        <v>65149</v>
      </c>
      <c r="N33" s="3">
        <f t="shared" ref="N33:O33" si="35">N31-N32</f>
        <v>59475</v>
      </c>
      <c r="O33" s="3">
        <f t="shared" si="35"/>
        <v>74071</v>
      </c>
      <c r="P33" s="3">
        <f t="shared" ref="P33" si="36">P31-P32</f>
        <v>90137.570064378844</v>
      </c>
      <c r="Q33" s="3">
        <f t="shared" ref="Q33" si="37">Q31-Q32</f>
        <v>107460.91537178354</v>
      </c>
      <c r="R33" s="3">
        <f t="shared" ref="R33" si="38">R31-R32</f>
        <v>137601.61784889258</v>
      </c>
      <c r="S33" s="3">
        <f t="shared" ref="S33" si="39">S31-S32</f>
        <v>175550.14917134491</v>
      </c>
      <c r="T33" s="3">
        <f t="shared" ref="T33" si="40">T31-T32</f>
        <v>223390.0382575866</v>
      </c>
      <c r="U33" s="3">
        <f t="shared" ref="U33:AZ33" si="41">T33*(1+$W$20)</f>
        <v>227857.83902273834</v>
      </c>
      <c r="V33" s="3">
        <f t="shared" si="41"/>
        <v>232414.9958031931</v>
      </c>
      <c r="W33" s="3">
        <f t="shared" si="41"/>
        <v>237063.29571925697</v>
      </c>
      <c r="X33" s="3">
        <f t="shared" si="41"/>
        <v>241804.56163364212</v>
      </c>
      <c r="Y33" s="3">
        <f t="shared" si="41"/>
        <v>246640.65286631498</v>
      </c>
      <c r="Z33" s="3">
        <f t="shared" si="41"/>
        <v>251573.46592364128</v>
      </c>
      <c r="AA33" s="3">
        <f t="shared" si="41"/>
        <v>256604.93524211412</v>
      </c>
      <c r="AB33" s="3">
        <f t="shared" si="41"/>
        <v>261737.03394695642</v>
      </c>
      <c r="AC33" s="3">
        <f t="shared" si="41"/>
        <v>266971.77462589554</v>
      </c>
      <c r="AD33" s="3">
        <f t="shared" si="41"/>
        <v>272311.21011841344</v>
      </c>
      <c r="AE33" s="3">
        <f t="shared" si="41"/>
        <v>277757.43432078173</v>
      </c>
      <c r="AF33" s="3">
        <f t="shared" si="41"/>
        <v>283312.58300719736</v>
      </c>
      <c r="AG33" s="3">
        <f t="shared" si="41"/>
        <v>288978.83466734132</v>
      </c>
      <c r="AH33" s="3">
        <f t="shared" si="41"/>
        <v>294758.41136068816</v>
      </c>
      <c r="AI33" s="3">
        <f t="shared" si="41"/>
        <v>300653.57958790194</v>
      </c>
      <c r="AJ33" s="3">
        <f t="shared" si="41"/>
        <v>306666.65117966</v>
      </c>
      <c r="AK33" s="3">
        <f t="shared" si="41"/>
        <v>312799.98420325317</v>
      </c>
      <c r="AL33" s="3">
        <f t="shared" si="41"/>
        <v>319055.98388731823</v>
      </c>
      <c r="AM33" s="3">
        <f t="shared" si="41"/>
        <v>325437.10356506461</v>
      </c>
      <c r="AN33" s="3">
        <f t="shared" si="41"/>
        <v>331945.84563636588</v>
      </c>
      <c r="AO33" s="3">
        <f t="shared" si="41"/>
        <v>338584.76254909323</v>
      </c>
      <c r="AP33" s="3">
        <f t="shared" si="41"/>
        <v>345356.45780007512</v>
      </c>
      <c r="AQ33" s="3">
        <f t="shared" si="41"/>
        <v>352263.58695607662</v>
      </c>
      <c r="AR33" s="3">
        <f t="shared" si="41"/>
        <v>359308.85869519814</v>
      </c>
      <c r="AS33" s="3">
        <f t="shared" si="41"/>
        <v>366495.03586910211</v>
      </c>
      <c r="AT33" s="3">
        <f t="shared" si="41"/>
        <v>373824.93658648414</v>
      </c>
      <c r="AU33" s="3">
        <f t="shared" si="41"/>
        <v>381301.43531821383</v>
      </c>
      <c r="AV33" s="3">
        <f t="shared" si="41"/>
        <v>388927.4640245781</v>
      </c>
      <c r="AW33" s="3">
        <f t="shared" si="41"/>
        <v>396706.01330506965</v>
      </c>
      <c r="AX33" s="3">
        <f t="shared" si="41"/>
        <v>404640.13357117103</v>
      </c>
      <c r="AY33" s="3">
        <f t="shared" si="41"/>
        <v>412732.93624259444</v>
      </c>
      <c r="AZ33" s="3">
        <f t="shared" si="41"/>
        <v>420987.59496744635</v>
      </c>
      <c r="BA33" s="3">
        <f t="shared" ref="BA33:CF33" si="42">AZ33*(1+$W$20)</f>
        <v>429407.34686679527</v>
      </c>
      <c r="BB33" s="3">
        <f t="shared" si="42"/>
        <v>437995.49380413117</v>
      </c>
      <c r="BC33" s="3">
        <f t="shared" si="42"/>
        <v>446755.40368021379</v>
      </c>
      <c r="BD33" s="3">
        <f t="shared" si="42"/>
        <v>455690.51175381808</v>
      </c>
      <c r="BE33" s="3">
        <f t="shared" si="42"/>
        <v>464804.32198889443</v>
      </c>
      <c r="BF33" s="3">
        <f t="shared" si="42"/>
        <v>474100.40842867235</v>
      </c>
      <c r="BG33" s="3">
        <f t="shared" si="42"/>
        <v>483582.41659724578</v>
      </c>
      <c r="BH33" s="3">
        <f t="shared" si="42"/>
        <v>493254.06492919073</v>
      </c>
      <c r="BI33" s="3">
        <f t="shared" si="42"/>
        <v>503119.14622777456</v>
      </c>
      <c r="BJ33" s="3">
        <f t="shared" si="42"/>
        <v>513181.52915233007</v>
      </c>
      <c r="BK33" s="3">
        <f t="shared" si="42"/>
        <v>523445.15973537666</v>
      </c>
      <c r="BL33" s="3">
        <f t="shared" si="42"/>
        <v>533914.06293008418</v>
      </c>
      <c r="BM33" s="3">
        <f t="shared" si="42"/>
        <v>544592.34418868588</v>
      </c>
      <c r="BN33" s="3">
        <f t="shared" si="42"/>
        <v>555484.19107245957</v>
      </c>
      <c r="BO33" s="3">
        <f t="shared" si="42"/>
        <v>566593.87489390874</v>
      </c>
      <c r="BP33" s="3">
        <f t="shared" si="42"/>
        <v>577925.7523917869</v>
      </c>
      <c r="BQ33" s="3">
        <f t="shared" si="42"/>
        <v>589484.26743962266</v>
      </c>
      <c r="BR33" s="3">
        <f t="shared" si="42"/>
        <v>601273.95278841513</v>
      </c>
      <c r="BS33" s="3">
        <f t="shared" si="42"/>
        <v>613299.43184418348</v>
      </c>
      <c r="BT33" s="3">
        <f t="shared" si="42"/>
        <v>625565.42048106715</v>
      </c>
      <c r="BU33" s="3">
        <f t="shared" si="42"/>
        <v>638076.72889068851</v>
      </c>
      <c r="BV33" s="3">
        <f t="shared" si="42"/>
        <v>650838.26346850232</v>
      </c>
      <c r="BW33" s="3">
        <f t="shared" si="42"/>
        <v>663855.02873787237</v>
      </c>
      <c r="BX33" s="3">
        <f t="shared" si="42"/>
        <v>677132.12931262981</v>
      </c>
      <c r="BY33" s="3">
        <f t="shared" si="42"/>
        <v>690674.77189888246</v>
      </c>
      <c r="BZ33" s="3">
        <f t="shared" si="42"/>
        <v>704488.26733686018</v>
      </c>
      <c r="CA33" s="3">
        <f t="shared" si="42"/>
        <v>718578.03268359741</v>
      </c>
      <c r="CB33" s="3">
        <f t="shared" si="42"/>
        <v>732949.59333726938</v>
      </c>
      <c r="CC33" s="3">
        <f t="shared" si="42"/>
        <v>747608.58520401479</v>
      </c>
      <c r="CD33" s="3">
        <f t="shared" si="42"/>
        <v>762560.75690809509</v>
      </c>
      <c r="CE33" s="3">
        <f t="shared" si="42"/>
        <v>777811.972046257</v>
      </c>
      <c r="CF33" s="3">
        <f t="shared" si="42"/>
        <v>793368.21148718218</v>
      </c>
      <c r="CG33" s="3">
        <f t="shared" ref="CG33:DL33" si="43">CF33*(1+$W$20)</f>
        <v>809235.57571692578</v>
      </c>
      <c r="CH33" s="3">
        <f t="shared" si="43"/>
        <v>825420.28723126429</v>
      </c>
      <c r="CI33" s="3">
        <f t="shared" si="43"/>
        <v>841928.69297588954</v>
      </c>
      <c r="CJ33" s="3">
        <f t="shared" si="43"/>
        <v>858767.26683540735</v>
      </c>
      <c r="CK33" s="3">
        <f t="shared" si="43"/>
        <v>875942.61217211548</v>
      </c>
      <c r="CL33" s="3">
        <f t="shared" si="43"/>
        <v>893461.4644155578</v>
      </c>
      <c r="CM33" s="3">
        <f t="shared" si="43"/>
        <v>911330.69370386901</v>
      </c>
      <c r="CN33" s="3">
        <f t="shared" si="43"/>
        <v>929557.30757794646</v>
      </c>
      <c r="CO33" s="3">
        <f t="shared" si="43"/>
        <v>948148.45372950542</v>
      </c>
      <c r="CP33" s="3">
        <f t="shared" si="43"/>
        <v>967111.42280409555</v>
      </c>
      <c r="CQ33" s="3">
        <f t="shared" si="43"/>
        <v>986453.65126017749</v>
      </c>
      <c r="CR33" s="3">
        <f t="shared" si="43"/>
        <v>1006182.724285381</v>
      </c>
      <c r="CS33" s="3">
        <f t="shared" si="43"/>
        <v>1026306.3787710887</v>
      </c>
      <c r="CT33" s="3">
        <f t="shared" si="43"/>
        <v>1046832.5063465105</v>
      </c>
      <c r="CU33" s="3">
        <f t="shared" si="43"/>
        <v>1067769.1564734408</v>
      </c>
      <c r="CV33" s="3">
        <f t="shared" si="43"/>
        <v>1089124.5396029097</v>
      </c>
      <c r="CW33" s="3">
        <f t="shared" si="43"/>
        <v>1110907.0303949679</v>
      </c>
      <c r="CX33" s="3">
        <f t="shared" si="43"/>
        <v>1133125.1710028672</v>
      </c>
      <c r="CY33" s="3">
        <f t="shared" si="43"/>
        <v>1155787.6744229246</v>
      </c>
      <c r="CZ33" s="3">
        <f t="shared" si="43"/>
        <v>1178903.4279113831</v>
      </c>
      <c r="DA33" s="3">
        <f t="shared" si="43"/>
        <v>1202481.4964696108</v>
      </c>
      <c r="DB33" s="3">
        <f t="shared" si="43"/>
        <v>1226531.126399003</v>
      </c>
      <c r="DC33" s="3">
        <f t="shared" si="43"/>
        <v>1251061.748926983</v>
      </c>
      <c r="DD33" s="3">
        <f t="shared" si="43"/>
        <v>1276082.9839055226</v>
      </c>
      <c r="DE33" s="3">
        <f t="shared" si="43"/>
        <v>1301604.643583633</v>
      </c>
      <c r="DF33" s="3">
        <f t="shared" si="43"/>
        <v>1327636.7364553057</v>
      </c>
      <c r="DG33" s="3">
        <f t="shared" si="43"/>
        <v>1354189.4711844118</v>
      </c>
      <c r="DH33" s="3">
        <f t="shared" si="43"/>
        <v>1381273.2606081001</v>
      </c>
      <c r="DI33" s="3">
        <f t="shared" si="43"/>
        <v>1408898.7258202622</v>
      </c>
      <c r="DJ33" s="3">
        <f t="shared" si="43"/>
        <v>1437076.7003366675</v>
      </c>
      <c r="DK33" s="3">
        <f t="shared" si="43"/>
        <v>1465818.2343434009</v>
      </c>
      <c r="DL33" s="3">
        <f t="shared" si="43"/>
        <v>1495134.5990302691</v>
      </c>
      <c r="DM33" s="3">
        <f t="shared" ref="DM33:DS33" si="44">DL33*(1+$W$20)</f>
        <v>1525037.2910108746</v>
      </c>
      <c r="DN33" s="3">
        <f t="shared" si="44"/>
        <v>1555538.0368310921</v>
      </c>
      <c r="DO33" s="3">
        <f t="shared" si="44"/>
        <v>1586648.797567714</v>
      </c>
      <c r="DP33" s="3">
        <f t="shared" si="44"/>
        <v>1618381.7735190683</v>
      </c>
      <c r="DQ33" s="3">
        <f t="shared" si="44"/>
        <v>1650749.4089894497</v>
      </c>
      <c r="DR33" s="3">
        <f t="shared" si="44"/>
        <v>1683764.3971692387</v>
      </c>
      <c r="DS33" s="3">
        <f t="shared" si="44"/>
        <v>1717439.6851126235</v>
      </c>
    </row>
    <row r="34" spans="1:123" x14ac:dyDescent="0.2">
      <c r="M34" s="7">
        <f>M33/M4</f>
        <v>0.32858727997175569</v>
      </c>
      <c r="N34" s="7">
        <f t="shared" ref="N34:O34" si="45">N33/N4</f>
        <v>0.28065497959087371</v>
      </c>
      <c r="O34" s="7">
        <f t="shared" si="45"/>
        <v>0.30218013886962408</v>
      </c>
      <c r="P34" s="7">
        <f t="shared" ref="P34" si="46">P33/P4</f>
        <v>0.30780738263973578</v>
      </c>
      <c r="Q34" s="7">
        <f t="shared" ref="Q34" si="47">Q33/Q4</f>
        <v>0.30479597636939004</v>
      </c>
      <c r="R34" s="7">
        <f t="shared" ref="R34" si="48">R33/R4</f>
        <v>0.32258889182259792</v>
      </c>
      <c r="S34" s="7">
        <f t="shared" ref="S34" si="49">S33/S4</f>
        <v>0.33868371686720128</v>
      </c>
      <c r="T34" s="7">
        <f t="shared" ref="T34" si="50">T33/T4</f>
        <v>0.35329295767660712</v>
      </c>
    </row>
    <row r="35" spans="1:123" x14ac:dyDescent="0.2">
      <c r="A35" s="1" t="s">
        <v>32</v>
      </c>
      <c r="G35" s="1">
        <f>G37-G39</f>
        <v>-50766</v>
      </c>
      <c r="H35" s="1">
        <f>G35+H16</f>
        <v>-50766</v>
      </c>
      <c r="I35" s="1">
        <f>H35+I16</f>
        <v>-50766</v>
      </c>
      <c r="P35" s="1">
        <f>I35</f>
        <v>-50766</v>
      </c>
      <c r="Q35" s="1">
        <f>P35+Q16</f>
        <v>75423.406677314691</v>
      </c>
      <c r="R35" s="1">
        <f t="shared" ref="R35:T35" si="51">Q35+R16</f>
        <v>232893.37468960602</v>
      </c>
      <c r="S35" s="1">
        <f t="shared" si="51"/>
        <v>429372.05513200385</v>
      </c>
      <c r="T35" s="1">
        <f t="shared" si="51"/>
        <v>674561.29656216514</v>
      </c>
    </row>
    <row r="37" spans="1:123" x14ac:dyDescent="0.2">
      <c r="A37" s="1" t="s">
        <v>4</v>
      </c>
      <c r="G37" s="1">
        <f>17482+54073</f>
        <v>71555</v>
      </c>
    </row>
    <row r="39" spans="1:123" x14ac:dyDescent="0.2">
      <c r="A39" s="1" t="s">
        <v>5</v>
      </c>
      <c r="G39" s="1">
        <f>39722+24389+2537+2513+17254+35906</f>
        <v>122321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2025-04-28T19:55:14Z</dcterms:created>
  <dcterms:modified xsi:type="dcterms:W3CDTF">2025-05-29T22:25:11Z</dcterms:modified>
</cp:coreProperties>
</file>