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8B22F39-BCC3-476F-93BB-CC787AF5A5A9}" xr6:coauthVersionLast="47" xr6:coauthVersionMax="47" xr10:uidLastSave="{00000000-0000-0000-0000-000000000000}"/>
  <bookViews>
    <workbookView xWindow="6045" yWindow="780" windowWidth="17745" windowHeight="14595" activeTab="1" xr2:uid="{87F9C278-582D-4F12-A964-BB568CD74D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Q27" i="2" s="1"/>
  <c r="R27" i="2" s="1"/>
  <c r="O27" i="2"/>
  <c r="D8" i="1"/>
  <c r="O2" i="2"/>
  <c r="P2" i="2" s="1"/>
  <c r="Q2" i="2" s="1"/>
  <c r="R2" i="2" s="1"/>
  <c r="O21" i="2"/>
  <c r="P21" i="2"/>
  <c r="Q21" i="2" s="1"/>
  <c r="R21" i="2" s="1"/>
  <c r="N21" i="2"/>
  <c r="K22" i="2"/>
  <c r="L22" i="2"/>
  <c r="M22" i="2"/>
  <c r="M25" i="2"/>
  <c r="M26" i="2" s="1"/>
  <c r="L25" i="2"/>
  <c r="L26" i="2" s="1"/>
  <c r="K25" i="2"/>
  <c r="K26" i="2" s="1"/>
  <c r="N18" i="2"/>
  <c r="N5" i="2" s="1"/>
  <c r="L18" i="2"/>
  <c r="M18" i="2"/>
  <c r="L8" i="2"/>
  <c r="M8" i="2"/>
  <c r="K8" i="2"/>
  <c r="L4" i="2"/>
  <c r="L21" i="2" s="1"/>
  <c r="M4" i="2"/>
  <c r="M21" i="2" s="1"/>
  <c r="K4" i="2"/>
  <c r="K21" i="2" s="1"/>
  <c r="M32" i="2"/>
  <c r="M30" i="2"/>
  <c r="E32" i="2"/>
  <c r="E30" i="2"/>
  <c r="E28" i="2" s="1"/>
  <c r="J1" i="2"/>
  <c r="K1" i="2" s="1"/>
  <c r="L1" i="2" s="1"/>
  <c r="M1" i="2" s="1"/>
  <c r="N1" i="2" s="1"/>
  <c r="O1" i="2" s="1"/>
  <c r="P1" i="2" s="1"/>
  <c r="Q1" i="2" s="1"/>
  <c r="R1" i="2" s="1"/>
  <c r="D6" i="1"/>
  <c r="D5" i="1"/>
  <c r="D4" i="1"/>
  <c r="D7" i="1" s="1"/>
  <c r="O18" i="2" l="1"/>
  <c r="N6" i="2"/>
  <c r="N7" i="2"/>
  <c r="O7" i="2" s="1"/>
  <c r="O5" i="2"/>
  <c r="N8" i="2"/>
  <c r="K9" i="2"/>
  <c r="K12" i="2" s="1"/>
  <c r="L9" i="2"/>
  <c r="L12" i="2" s="1"/>
  <c r="M9" i="2"/>
  <c r="M12" i="2" s="1"/>
  <c r="M28" i="2"/>
  <c r="N11" i="2" s="1"/>
  <c r="P18" i="2"/>
  <c r="O3" i="2"/>
  <c r="O4" i="2" s="1"/>
  <c r="N3" i="2"/>
  <c r="N4" i="2" s="1"/>
  <c r="N9" i="2" s="1"/>
  <c r="O6" i="2" l="1"/>
  <c r="P6" i="2"/>
  <c r="N12" i="2"/>
  <c r="N13" i="2" s="1"/>
  <c r="N14" i="2" s="1"/>
  <c r="N16" i="2" s="1"/>
  <c r="N22" i="2"/>
  <c r="L14" i="2"/>
  <c r="L19" i="2"/>
  <c r="M14" i="2"/>
  <c r="M19" i="2"/>
  <c r="K14" i="2"/>
  <c r="K19" i="2"/>
  <c r="P7" i="2"/>
  <c r="P5" i="2"/>
  <c r="O8" i="2"/>
  <c r="O9" i="2" s="1"/>
  <c r="P3" i="2"/>
  <c r="P4" i="2" s="1"/>
  <c r="Q18" i="2"/>
  <c r="Q6" i="2" s="1"/>
  <c r="O22" i="2" l="1"/>
  <c r="N26" i="2"/>
  <c r="N28" i="2"/>
  <c r="O11" i="2" s="1"/>
  <c r="O12" i="2" s="1"/>
  <c r="O13" i="2" s="1"/>
  <c r="O14" i="2" s="1"/>
  <c r="O16" i="2" s="1"/>
  <c r="K16" i="2"/>
  <c r="K27" i="2"/>
  <c r="M16" i="2"/>
  <c r="M27" i="2"/>
  <c r="L16" i="2"/>
  <c r="L27" i="2"/>
  <c r="Q5" i="2"/>
  <c r="P8" i="2"/>
  <c r="P9" i="2" s="1"/>
  <c r="P22" i="2" s="1"/>
  <c r="Q7" i="2"/>
  <c r="R18" i="2"/>
  <c r="R6" i="2" s="1"/>
  <c r="Q3" i="2"/>
  <c r="Q4" i="2" s="1"/>
  <c r="O28" i="2" l="1"/>
  <c r="P11" i="2" s="1"/>
  <c r="P12" i="2" s="1"/>
  <c r="O26" i="2"/>
  <c r="R7" i="2"/>
  <c r="R5" i="2"/>
  <c r="Q8" i="2"/>
  <c r="Q9" i="2" s="1"/>
  <c r="Q22" i="2" s="1"/>
  <c r="R3" i="2"/>
  <c r="R4" i="2" s="1"/>
  <c r="R8" i="2" l="1"/>
  <c r="P13" i="2"/>
  <c r="P14" i="2" s="1"/>
  <c r="P16" i="2" s="1"/>
  <c r="R9" i="2"/>
  <c r="R22" i="2" s="1"/>
  <c r="P28" i="2" l="1"/>
  <c r="Q11" i="2" s="1"/>
  <c r="Q12" i="2" s="1"/>
  <c r="P26" i="2"/>
  <c r="Q13" i="2" l="1"/>
  <c r="Q14" i="2" s="1"/>
  <c r="Q16" i="2" s="1"/>
  <c r="Q28" i="2" l="1"/>
  <c r="R11" i="2" s="1"/>
  <c r="R12" i="2" s="1"/>
  <c r="Q26" i="2"/>
  <c r="R13" i="2" l="1"/>
  <c r="R14" i="2" s="1"/>
  <c r="R16" i="2" s="1"/>
  <c r="S14" i="2" l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R26" i="2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U20" i="2" s="1"/>
  <c r="U21" i="2" s="1"/>
  <c r="R28" i="2"/>
  <c r="U22" i="2" l="1"/>
</calcChain>
</file>

<file path=xl/sharedStrings.xml><?xml version="1.0" encoding="utf-8"?>
<sst xmlns="http://schemas.openxmlformats.org/spreadsheetml/2006/main" count="48" uniqueCount="39">
  <si>
    <t>NFLX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</si>
  <si>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</si>
  <si>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</si>
  <si>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</si>
  <si>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</si>
  <si>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</si>
  <si>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</si>
  <si>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</si>
  <si>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</si>
  <si>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</si>
  <si>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</si>
  <si>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</si>
  <si>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</si>
  <si>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</si>
  <si>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</si>
  <si>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</si>
  <si>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</si>
  <si>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OPEX</t>
  </si>
  <si>
    <t>Operating Income</t>
  </si>
  <si>
    <t>Interest Expense</t>
  </si>
  <si>
    <t>Interest &amp; Other</t>
  </si>
  <si>
    <t>Pretax Income</t>
  </si>
  <si>
    <t>Tax</t>
  </si>
  <si>
    <t>Net Income</t>
  </si>
  <si>
    <t>EPS</t>
  </si>
  <si>
    <t>Revenue Growth</t>
  </si>
  <si>
    <t>Gross Margin</t>
  </si>
  <si>
    <t>CFFO</t>
  </si>
  <si>
    <t>CX</t>
  </si>
  <si>
    <t>FCF</t>
  </si>
  <si>
    <t>Net Cash</t>
  </si>
  <si>
    <t>Tax Rate</t>
  </si>
  <si>
    <t>NPV</t>
  </si>
  <si>
    <t>Discount</t>
  </si>
  <si>
    <t>Maturity</t>
  </si>
  <si>
    <t>Diff</t>
  </si>
  <si>
    <t>ROIC</t>
  </si>
  <si>
    <t>PE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</si>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</sst>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0</xdr:row>
      <xdr:rowOff>28575</xdr:rowOff>
    </xdr:from>
    <xdr:to>
      <xdr:col>12</xdr:col>
      <xdr:colOff>590550</xdr:colOff>
      <xdr:row>38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9897C9-C83C-A731-E028-620C89F7F952}"/>
            </a:ext>
          </a:extLst>
        </xdr:cNvPr>
        <xdr:cNvCxnSpPr/>
      </xdr:nvCxnSpPr>
      <xdr:spPr>
        <a:xfrm flipH="1">
          <a:off x="7896225" y="28575"/>
          <a:ext cx="9525" cy="7000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19050</xdr:rowOff>
    </xdr:from>
    <xdr:to>
      <xdr:col>5</xdr:col>
      <xdr:colOff>9525</xdr:colOff>
      <xdr:row>38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81F37C-EF7E-42A5-9FF3-19E8625C3390}"/>
            </a:ext>
          </a:extLst>
        </xdr:cNvPr>
        <xdr:cNvCxnSpPr/>
      </xdr:nvCxnSpPr>
      <xdr:spPr>
        <a:xfrm flipH="1">
          <a:off x="3048000" y="19050"/>
          <a:ext cx="9525" cy="7000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5C2-B026-4303-AE35-0CC5202B93AC}">
  <dimension ref="A1:E8"/>
  <sheetViews>
    <sheetView zoomScale="280" zoomScaleNormal="280" workbookViewId="0">
      <selection activeCell="D3" sqref="D3"/>
    </sheetView>
  </sheetViews>
  <sheetFormatPr defaultRowHeight="14.25" x14ac:dyDescent="0.2"/>
  <cols>
    <col min="1" max="16384" width="9.140625" style="8"/>
  </cols>
  <sheetData>
    <row r="1" spans="1:5" ht="15" x14ac:dyDescent="0.25">
      <c r="A1" s="7" t="s">
        <v>0</v>
      </c>
    </row>
    <row r="2" spans="1:5" x14ac:dyDescent="0.2">
      <c r="C2" s="8" t="s">
        <v>1</v>
      </c>
      <c r="D2" s="5">
        <v>1185</v>
      </c>
    </row>
    <row r="3" spans="1:5" x14ac:dyDescent="0.2">
      <c r="C3" s="8" t="s">
        <v>2</v>
      </c>
      <c r="D3" s="1">
        <v>427.75709999999998</v>
      </c>
      <c r="E3" s="8" t="s">
        <v>10</v>
      </c>
    </row>
    <row r="4" spans="1:5" x14ac:dyDescent="0.2">
      <c r="C4" s="8" t="s">
        <v>3</v>
      </c>
      <c r="D4" s="1">
        <f>D3*D2</f>
        <v>506892.16349999997</v>
      </c>
    </row>
    <row r="5" spans="1:5" x14ac:dyDescent="0.2">
      <c r="C5" s="8" t="s">
        <v>4</v>
      </c>
      <c r="D5" s="1">
        <f>7804.7+1779</f>
        <v>9583.7000000000007</v>
      </c>
      <c r="E5" s="8" t="s">
        <v>10</v>
      </c>
    </row>
    <row r="6" spans="1:5" x14ac:dyDescent="0.2">
      <c r="C6" s="8" t="s">
        <v>5</v>
      </c>
      <c r="D6" s="1">
        <f>1780.8+13798.3+2552.2</f>
        <v>18131.3</v>
      </c>
      <c r="E6" s="8" t="s">
        <v>10</v>
      </c>
    </row>
    <row r="7" spans="1:5" x14ac:dyDescent="0.2">
      <c r="C7" s="8" t="s">
        <v>6</v>
      </c>
      <c r="D7" s="1">
        <f>D4+D6-D5</f>
        <v>515439.76349999994</v>
      </c>
    </row>
    <row r="8" spans="1:5" x14ac:dyDescent="0.2">
      <c r="C8" s="8" t="s">
        <v>37</v>
      </c>
      <c r="D8" s="9">
        <f>D2/Sheet2!M16</f>
        <v>58.353612341881124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C2DB-D73B-4DDE-B84C-DD792E845260}">
  <dimension ref="A1:DN32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T22" sqref="T21:X22"/>
    </sheetView>
  </sheetViews>
  <sheetFormatPr defaultRowHeight="14.25" x14ac:dyDescent="0.2"/>
  <cols>
    <col min="1" max="1" width="16.85546875" style="1" customWidth="1"/>
    <col min="2" max="16384" width="9.140625" style="1"/>
  </cols>
  <sheetData>
    <row r="1" spans="1:118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7</v>
      </c>
      <c r="G1" s="1" t="s">
        <v>8</v>
      </c>
      <c r="I1" s="2">
        <v>2020</v>
      </c>
      <c r="J1" s="2">
        <f>I1+1</f>
        <v>2021</v>
      </c>
      <c r="K1" s="2">
        <f t="shared" ref="K1:R1" si="0">J1+1</f>
        <v>2022</v>
      </c>
      <c r="L1" s="2">
        <f t="shared" si="0"/>
        <v>2023</v>
      </c>
      <c r="M1" s="2">
        <f t="shared" si="0"/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/>
      <c r="T1" s="2"/>
      <c r="U1" s="2"/>
      <c r="V1" s="2"/>
      <c r="W1" s="2"/>
    </row>
    <row r="2" spans="1:118" s="3" customFormat="1" ht="15" x14ac:dyDescent="0.25">
      <c r="A2" s="3" t="s">
        <v>11</v>
      </c>
      <c r="K2" s="3">
        <v>31615.5</v>
      </c>
      <c r="L2" s="3">
        <v>33723.300000000003</v>
      </c>
      <c r="M2" s="3">
        <v>39000</v>
      </c>
      <c r="N2" s="3">
        <v>46000</v>
      </c>
      <c r="O2" s="3">
        <f>N2*1.16</f>
        <v>53359.999999999993</v>
      </c>
      <c r="P2" s="3">
        <f t="shared" ref="P2:R2" si="1">O2*1.16</f>
        <v>61897.599999999984</v>
      </c>
      <c r="Q2" s="3">
        <f t="shared" si="1"/>
        <v>71801.215999999971</v>
      </c>
      <c r="R2" s="3">
        <f t="shared" si="1"/>
        <v>83289.41055999996</v>
      </c>
    </row>
    <row r="3" spans="1:118" x14ac:dyDescent="0.2">
      <c r="A3" s="1" t="s">
        <v>12</v>
      </c>
      <c r="K3" s="1">
        <v>19168.2</v>
      </c>
      <c r="L3" s="1">
        <v>19715.3</v>
      </c>
      <c r="M3" s="1">
        <v>21038.400000000001</v>
      </c>
      <c r="N3" s="1">
        <f>N2*(1-N21)</f>
        <v>23755.249230769234</v>
      </c>
      <c r="O3" s="1">
        <f t="shared" ref="O3:R3" si="2">O2*(1-O21)</f>
        <v>26265.893563076919</v>
      </c>
      <c r="P3" s="1">
        <f t="shared" si="2"/>
        <v>28896.978359827684</v>
      </c>
      <c r="Q3" s="1">
        <f t="shared" si="2"/>
        <v>31606.458842270113</v>
      </c>
      <c r="R3" s="1">
        <f t="shared" si="2"/>
        <v>34332.196341884992</v>
      </c>
    </row>
    <row r="4" spans="1:118" x14ac:dyDescent="0.2">
      <c r="A4" s="1" t="s">
        <v>13</v>
      </c>
      <c r="G4" s="4"/>
      <c r="K4" s="1">
        <f>K2-K3</f>
        <v>12447.3</v>
      </c>
      <c r="L4" s="1">
        <f t="shared" ref="L4:M4" si="3">L2-L3</f>
        <v>14008.000000000004</v>
      </c>
      <c r="M4" s="1">
        <f t="shared" si="3"/>
        <v>17961.599999999999</v>
      </c>
      <c r="N4" s="1">
        <f t="shared" ref="N4" si="4">N2-N3</f>
        <v>22244.750769230766</v>
      </c>
      <c r="O4" s="1">
        <f t="shared" ref="O4" si="5">O2-O3</f>
        <v>27094.106436923073</v>
      </c>
      <c r="P4" s="1">
        <f t="shared" ref="P4" si="6">P2-P3</f>
        <v>33000.6216401723</v>
      </c>
      <c r="Q4" s="1">
        <f t="shared" ref="Q4" si="7">Q2-Q3</f>
        <v>40194.757157729859</v>
      </c>
      <c r="R4" s="1">
        <f t="shared" ref="R4" si="8">R2-R3</f>
        <v>48957.214218114968</v>
      </c>
    </row>
    <row r="5" spans="1:118" x14ac:dyDescent="0.2">
      <c r="A5" s="1" t="s">
        <v>14</v>
      </c>
      <c r="K5" s="1">
        <v>2530.5</v>
      </c>
      <c r="L5" s="1">
        <v>2657.8</v>
      </c>
      <c r="M5" s="1">
        <v>2917.5</v>
      </c>
      <c r="N5" s="1">
        <f>M5*(1+N18)</f>
        <v>3441.1538461538462</v>
      </c>
      <c r="O5" s="1">
        <f t="shared" ref="O5:R5" si="9">N5*(1+O18)</f>
        <v>3991.7384615384613</v>
      </c>
      <c r="P5" s="1">
        <f t="shared" si="9"/>
        <v>4630.4166153846145</v>
      </c>
      <c r="Q5" s="1">
        <f t="shared" si="9"/>
        <v>5371.283273846152</v>
      </c>
      <c r="R5" s="1">
        <f t="shared" si="9"/>
        <v>6230.6885976615358</v>
      </c>
    </row>
    <row r="6" spans="1:118" x14ac:dyDescent="0.2">
      <c r="A6" s="1" t="s">
        <v>15</v>
      </c>
      <c r="K6" s="1">
        <v>2711</v>
      </c>
      <c r="L6" s="1">
        <v>2675</v>
      </c>
      <c r="M6" s="1">
        <v>2925</v>
      </c>
      <c r="N6" s="1">
        <f>M6*(1+N18)</f>
        <v>3450</v>
      </c>
      <c r="O6" s="1">
        <f t="shared" ref="O6:R6" si="10">N6*(1+O18)</f>
        <v>4001.9999999999995</v>
      </c>
      <c r="P6" s="1">
        <f t="shared" si="10"/>
        <v>4642.3199999999988</v>
      </c>
      <c r="Q6" s="1">
        <f t="shared" si="10"/>
        <v>5385.091199999998</v>
      </c>
      <c r="R6" s="1">
        <f t="shared" si="10"/>
        <v>6246.705791999997</v>
      </c>
    </row>
    <row r="7" spans="1:118" x14ac:dyDescent="0.2">
      <c r="A7" s="1" t="s">
        <v>16</v>
      </c>
      <c r="K7" s="1">
        <v>1562</v>
      </c>
      <c r="L7" s="1">
        <v>1720</v>
      </c>
      <c r="M7" s="1">
        <v>1702</v>
      </c>
      <c r="N7" s="1">
        <f>M7*(1+N18)</f>
        <v>2007.4871794871794</v>
      </c>
      <c r="O7" s="1">
        <f t="shared" ref="O7:R7" si="11">N7*(1+O18)</f>
        <v>2328.685128205128</v>
      </c>
      <c r="P7" s="1">
        <f t="shared" si="11"/>
        <v>2701.2747487179481</v>
      </c>
      <c r="Q7" s="1">
        <f t="shared" si="11"/>
        <v>3133.4787085128196</v>
      </c>
      <c r="R7" s="1">
        <f t="shared" si="11"/>
        <v>3634.8353018748703</v>
      </c>
    </row>
    <row r="8" spans="1:118" x14ac:dyDescent="0.2">
      <c r="A8" s="1" t="s">
        <v>17</v>
      </c>
      <c r="K8" s="1">
        <f>SUM(K5:K7)</f>
        <v>6803.5</v>
      </c>
      <c r="L8" s="1">
        <f t="shared" ref="L8:M8" si="12">SUM(L5:L7)</f>
        <v>7052.8</v>
      </c>
      <c r="M8" s="1">
        <f t="shared" si="12"/>
        <v>7544.5</v>
      </c>
      <c r="N8" s="1">
        <f t="shared" ref="N8" si="13">SUM(N5:N7)</f>
        <v>8898.6410256410254</v>
      </c>
      <c r="O8" s="1">
        <f t="shared" ref="O8" si="14">SUM(O5:O7)</f>
        <v>10322.423589743588</v>
      </c>
      <c r="P8" s="1">
        <f t="shared" ref="P8" si="15">SUM(P5:P7)</f>
        <v>11974.01136410256</v>
      </c>
      <c r="Q8" s="1">
        <f t="shared" ref="Q8" si="16">SUM(Q5:Q7)</f>
        <v>13889.853182358969</v>
      </c>
      <c r="R8" s="1">
        <f t="shared" ref="R8" si="17">SUM(R5:R7)</f>
        <v>16112.229691536402</v>
      </c>
    </row>
    <row r="9" spans="1:118" x14ac:dyDescent="0.2">
      <c r="A9" s="1" t="s">
        <v>18</v>
      </c>
      <c r="K9" s="1">
        <f>K4-K8</f>
        <v>5643.7999999999993</v>
      </c>
      <c r="L9" s="1">
        <f t="shared" ref="L9:M9" si="18">L4-L8</f>
        <v>6955.2000000000035</v>
      </c>
      <c r="M9" s="1">
        <f t="shared" si="18"/>
        <v>10417.099999999999</v>
      </c>
      <c r="N9" s="1">
        <f t="shared" ref="N9" si="19">N4-N8</f>
        <v>13346.109743589741</v>
      </c>
      <c r="O9" s="1">
        <f t="shared" ref="O9" si="20">O4-O8</f>
        <v>16771.682847179487</v>
      </c>
      <c r="P9" s="1">
        <f t="shared" ref="P9" si="21">P4-P8</f>
        <v>21026.610276069739</v>
      </c>
      <c r="Q9" s="1">
        <f t="shared" ref="Q9" si="22">Q4-Q8</f>
        <v>26304.903975370889</v>
      </c>
      <c r="R9" s="1">
        <f t="shared" ref="R9" si="23">R4-R8</f>
        <v>32844.98452657857</v>
      </c>
    </row>
    <row r="10" spans="1:118" x14ac:dyDescent="0.2">
      <c r="A10" s="1" t="s">
        <v>19</v>
      </c>
      <c r="K10" s="1">
        <v>-706</v>
      </c>
      <c r="L10" s="1">
        <v>-699</v>
      </c>
      <c r="M10" s="1">
        <v>-718</v>
      </c>
    </row>
    <row r="11" spans="1:118" x14ac:dyDescent="0.2">
      <c r="A11" s="1" t="s">
        <v>20</v>
      </c>
      <c r="K11" s="1">
        <v>337</v>
      </c>
      <c r="L11" s="1">
        <v>-48</v>
      </c>
      <c r="M11" s="1">
        <v>266.7</v>
      </c>
      <c r="N11" s="1">
        <f>M28*$U$17</f>
        <v>-341.90399999999994</v>
      </c>
      <c r="O11" s="1">
        <f t="shared" ref="O11:R11" si="24">N28*$U$17</f>
        <v>79.4322660923077</v>
      </c>
      <c r="P11" s="1">
        <f t="shared" si="24"/>
        <v>625.40839576231383</v>
      </c>
      <c r="Q11" s="1">
        <f t="shared" si="24"/>
        <v>1326.9338007296724</v>
      </c>
      <c r="R11" s="1">
        <f t="shared" si="24"/>
        <v>2222.2053446753307</v>
      </c>
    </row>
    <row r="12" spans="1:118" x14ac:dyDescent="0.2">
      <c r="A12" s="1" t="s">
        <v>21</v>
      </c>
      <c r="K12" s="1">
        <f>K9+SUM(K10:K11)</f>
        <v>5274.7999999999993</v>
      </c>
      <c r="L12" s="1">
        <f t="shared" ref="L12:M12" si="25">L9+SUM(L10:L11)</f>
        <v>6208.2000000000035</v>
      </c>
      <c r="M12" s="1">
        <f t="shared" si="25"/>
        <v>9965.7999999999993</v>
      </c>
      <c r="N12" s="1">
        <f t="shared" ref="N12" si="26">N9+SUM(N10:N11)</f>
        <v>13004.20574358974</v>
      </c>
      <c r="O12" s="1">
        <f t="shared" ref="O12" si="27">O9+SUM(O10:O11)</f>
        <v>16851.115113271793</v>
      </c>
      <c r="P12" s="1">
        <f t="shared" ref="P12" si="28">P9+SUM(P10:P11)</f>
        <v>21652.018671832055</v>
      </c>
      <c r="Q12" s="1">
        <f t="shared" ref="Q12" si="29">Q9+SUM(Q10:Q11)</f>
        <v>27631.837776100561</v>
      </c>
      <c r="R12" s="1">
        <f t="shared" ref="R12" si="30">R9+SUM(R10:R11)</f>
        <v>35067.189871253897</v>
      </c>
    </row>
    <row r="13" spans="1:118" x14ac:dyDescent="0.2">
      <c r="A13" s="1" t="s">
        <v>22</v>
      </c>
      <c r="K13" s="1">
        <v>772</v>
      </c>
      <c r="L13" s="1">
        <v>797.4</v>
      </c>
      <c r="M13" s="1">
        <v>1254</v>
      </c>
      <c r="N13" s="1">
        <f>N12*N19</f>
        <v>2470.7990912820505</v>
      </c>
      <c r="O13" s="1">
        <f t="shared" ref="O13:R13" si="31">O12*O19</f>
        <v>3201.7118715216407</v>
      </c>
      <c r="P13" s="1">
        <f t="shared" si="31"/>
        <v>4113.8835476480908</v>
      </c>
      <c r="Q13" s="1">
        <f t="shared" si="31"/>
        <v>5250.0491774591064</v>
      </c>
      <c r="R13" s="1">
        <f t="shared" si="31"/>
        <v>6662.7660755382403</v>
      </c>
    </row>
    <row r="14" spans="1:118" s="3" customFormat="1" ht="15" x14ac:dyDescent="0.25">
      <c r="A14" s="3" t="s">
        <v>23</v>
      </c>
      <c r="K14" s="3">
        <f>K12-K13</f>
        <v>4502.7999999999993</v>
      </c>
      <c r="L14" s="3">
        <f t="shared" ref="L14:M14" si="32">L12-L13</f>
        <v>5410.8000000000038</v>
      </c>
      <c r="M14" s="3">
        <f t="shared" si="32"/>
        <v>8711.7999999999993</v>
      </c>
      <c r="N14" s="3">
        <f t="shared" ref="N14" si="33">N12-N13</f>
        <v>10533.406652307691</v>
      </c>
      <c r="O14" s="3">
        <f t="shared" ref="O14" si="34">O12-O13</f>
        <v>13649.403241750153</v>
      </c>
      <c r="P14" s="3">
        <f t="shared" ref="P14" si="35">P12-P13</f>
        <v>17538.135124183966</v>
      </c>
      <c r="Q14" s="3">
        <f t="shared" ref="Q14" si="36">Q12-Q13</f>
        <v>22381.788598641455</v>
      </c>
      <c r="R14" s="3">
        <f t="shared" ref="R14" si="37">R12-R13</f>
        <v>28404.423795715658</v>
      </c>
      <c r="S14" s="3">
        <f>R14*(1+$U$18)</f>
        <v>28972.51227162997</v>
      </c>
      <c r="T14" s="3">
        <f t="shared" ref="T14:CE14" si="38">S14*(1+$U$18)</f>
        <v>29551.96251706257</v>
      </c>
      <c r="U14" s="3">
        <f t="shared" si="38"/>
        <v>30143.001767403821</v>
      </c>
      <c r="V14" s="3">
        <f t="shared" si="38"/>
        <v>30745.861802751897</v>
      </c>
      <c r="W14" s="3">
        <f t="shared" si="38"/>
        <v>31360.779038806937</v>
      </c>
      <c r="X14" s="3">
        <f t="shared" si="38"/>
        <v>31987.994619583078</v>
      </c>
      <c r="Y14" s="3">
        <f t="shared" si="38"/>
        <v>32627.754511974741</v>
      </c>
      <c r="Z14" s="3">
        <f t="shared" si="38"/>
        <v>33280.309602214234</v>
      </c>
      <c r="AA14" s="3">
        <f t="shared" si="38"/>
        <v>33945.915794258523</v>
      </c>
      <c r="AB14" s="3">
        <f t="shared" si="38"/>
        <v>34624.834110143696</v>
      </c>
      <c r="AC14" s="3">
        <f t="shared" si="38"/>
        <v>35317.330792346569</v>
      </c>
      <c r="AD14" s="3">
        <f t="shared" si="38"/>
        <v>36023.6774081935</v>
      </c>
      <c r="AE14" s="3">
        <f t="shared" si="38"/>
        <v>36744.150956357371</v>
      </c>
      <c r="AF14" s="3">
        <f t="shared" si="38"/>
        <v>37479.033975484519</v>
      </c>
      <c r="AG14" s="3">
        <f t="shared" si="38"/>
        <v>38228.614654994213</v>
      </c>
      <c r="AH14" s="3">
        <f t="shared" si="38"/>
        <v>38993.186948094095</v>
      </c>
      <c r="AI14" s="3">
        <f t="shared" si="38"/>
        <v>39773.050687055977</v>
      </c>
      <c r="AJ14" s="3">
        <f t="shared" si="38"/>
        <v>40568.511700797098</v>
      </c>
      <c r="AK14" s="3">
        <f t="shared" si="38"/>
        <v>41379.881934813042</v>
      </c>
      <c r="AL14" s="3">
        <f t="shared" si="38"/>
        <v>42207.479573509307</v>
      </c>
      <c r="AM14" s="3">
        <f t="shared" si="38"/>
        <v>43051.629164979495</v>
      </c>
      <c r="AN14" s="3">
        <f t="shared" si="38"/>
        <v>43912.661748279083</v>
      </c>
      <c r="AO14" s="3">
        <f t="shared" si="38"/>
        <v>44790.914983244664</v>
      </c>
      <c r="AP14" s="3">
        <f t="shared" si="38"/>
        <v>45686.733282909561</v>
      </c>
      <c r="AQ14" s="3">
        <f t="shared" si="38"/>
        <v>46600.467948567755</v>
      </c>
      <c r="AR14" s="3">
        <f t="shared" si="38"/>
        <v>47532.477307539113</v>
      </c>
      <c r="AS14" s="3">
        <f t="shared" si="38"/>
        <v>48483.126853689893</v>
      </c>
      <c r="AT14" s="3">
        <f t="shared" si="38"/>
        <v>49452.78939076369</v>
      </c>
      <c r="AU14" s="3">
        <f t="shared" si="38"/>
        <v>50441.845178578966</v>
      </c>
      <c r="AV14" s="3">
        <f t="shared" si="38"/>
        <v>51450.682082150546</v>
      </c>
      <c r="AW14" s="3">
        <f t="shared" si="38"/>
        <v>52479.695723793557</v>
      </c>
      <c r="AX14" s="3">
        <f t="shared" si="38"/>
        <v>53529.289638269431</v>
      </c>
      <c r="AY14" s="3">
        <f t="shared" si="38"/>
        <v>54599.875431034823</v>
      </c>
      <c r="AZ14" s="3">
        <f t="shared" si="38"/>
        <v>55691.872939655521</v>
      </c>
      <c r="BA14" s="3">
        <f t="shared" si="38"/>
        <v>56805.710398448631</v>
      </c>
      <c r="BB14" s="3">
        <f t="shared" si="38"/>
        <v>57941.824606417606</v>
      </c>
      <c r="BC14" s="3">
        <f t="shared" si="38"/>
        <v>59100.661098545956</v>
      </c>
      <c r="BD14" s="3">
        <f t="shared" si="38"/>
        <v>60282.674320516875</v>
      </c>
      <c r="BE14" s="3">
        <f t="shared" si="38"/>
        <v>61488.327806927213</v>
      </c>
      <c r="BF14" s="3">
        <f t="shared" si="38"/>
        <v>62718.094363065757</v>
      </c>
      <c r="BG14" s="3">
        <f t="shared" si="38"/>
        <v>63972.456250327072</v>
      </c>
      <c r="BH14" s="3">
        <f t="shared" si="38"/>
        <v>65251.905375333612</v>
      </c>
      <c r="BI14" s="3">
        <f t="shared" si="38"/>
        <v>66556.943482840288</v>
      </c>
      <c r="BJ14" s="3">
        <f t="shared" si="38"/>
        <v>67888.082352497091</v>
      </c>
      <c r="BK14" s="3">
        <f t="shared" si="38"/>
        <v>69245.84399954704</v>
      </c>
      <c r="BL14" s="3">
        <f t="shared" si="38"/>
        <v>70630.760879537978</v>
      </c>
      <c r="BM14" s="3">
        <f t="shared" si="38"/>
        <v>72043.376097128741</v>
      </c>
      <c r="BN14" s="3">
        <f t="shared" si="38"/>
        <v>73484.24361907132</v>
      </c>
      <c r="BO14" s="3">
        <f t="shared" si="38"/>
        <v>74953.928491452752</v>
      </c>
      <c r="BP14" s="3">
        <f t="shared" si="38"/>
        <v>76453.007061281809</v>
      </c>
      <c r="BQ14" s="3">
        <f t="shared" si="38"/>
        <v>77982.067202507445</v>
      </c>
      <c r="BR14" s="3">
        <f t="shared" si="38"/>
        <v>79541.708546557595</v>
      </c>
      <c r="BS14" s="3">
        <f t="shared" si="38"/>
        <v>81132.542717488745</v>
      </c>
      <c r="BT14" s="3">
        <f t="shared" si="38"/>
        <v>82755.193571838521</v>
      </c>
      <c r="BU14" s="3">
        <f t="shared" si="38"/>
        <v>84410.297443275296</v>
      </c>
      <c r="BV14" s="3">
        <f t="shared" si="38"/>
        <v>86098.503392140803</v>
      </c>
      <c r="BW14" s="3">
        <f t="shared" si="38"/>
        <v>87820.473459983623</v>
      </c>
      <c r="BX14" s="3">
        <f t="shared" si="38"/>
        <v>89576.882929183295</v>
      </c>
      <c r="BY14" s="3">
        <f t="shared" si="38"/>
        <v>91368.420587766959</v>
      </c>
      <c r="BZ14" s="3">
        <f t="shared" si="38"/>
        <v>93195.788999522294</v>
      </c>
      <c r="CA14" s="3">
        <f t="shared" si="38"/>
        <v>95059.704779512744</v>
      </c>
      <c r="CB14" s="3">
        <f t="shared" si="38"/>
        <v>96960.898875102997</v>
      </c>
      <c r="CC14" s="3">
        <f t="shared" si="38"/>
        <v>98900.116852605061</v>
      </c>
      <c r="CD14" s="3">
        <f t="shared" si="38"/>
        <v>100878.11918965717</v>
      </c>
      <c r="CE14" s="3">
        <f t="shared" si="38"/>
        <v>102895.68157345032</v>
      </c>
      <c r="CF14" s="3">
        <f t="shared" ref="CF14:DN14" si="39">CE14*(1+$U$18)</f>
        <v>104953.59520491933</v>
      </c>
      <c r="CG14" s="3">
        <f t="shared" si="39"/>
        <v>107052.66710901771</v>
      </c>
      <c r="CH14" s="3">
        <f t="shared" si="39"/>
        <v>109193.72045119807</v>
      </c>
      <c r="CI14" s="3">
        <f t="shared" si="39"/>
        <v>111377.59486022203</v>
      </c>
      <c r="CJ14" s="3">
        <f t="shared" si="39"/>
        <v>113605.14675742647</v>
      </c>
      <c r="CK14" s="3">
        <f t="shared" si="39"/>
        <v>115877.249692575</v>
      </c>
      <c r="CL14" s="3">
        <f t="shared" si="39"/>
        <v>118194.79468642651</v>
      </c>
      <c r="CM14" s="3">
        <f t="shared" si="39"/>
        <v>120558.69058015505</v>
      </c>
      <c r="CN14" s="3">
        <f t="shared" si="39"/>
        <v>122969.86439175815</v>
      </c>
      <c r="CO14" s="3">
        <f t="shared" si="39"/>
        <v>125429.26167959331</v>
      </c>
      <c r="CP14" s="3">
        <f t="shared" si="39"/>
        <v>127937.84691318519</v>
      </c>
      <c r="CQ14" s="3">
        <f t="shared" si="39"/>
        <v>130496.60385144889</v>
      </c>
      <c r="CR14" s="3">
        <f t="shared" si="39"/>
        <v>133106.53592847788</v>
      </c>
      <c r="CS14" s="3">
        <f t="shared" si="39"/>
        <v>135768.66664704744</v>
      </c>
      <c r="CT14" s="3">
        <f t="shared" si="39"/>
        <v>138484.03997998839</v>
      </c>
      <c r="CU14" s="3">
        <f t="shared" si="39"/>
        <v>141253.72077958815</v>
      </c>
      <c r="CV14" s="3">
        <f t="shared" si="39"/>
        <v>144078.79519517993</v>
      </c>
      <c r="CW14" s="3">
        <f t="shared" si="39"/>
        <v>146960.37109908354</v>
      </c>
      <c r="CX14" s="3">
        <f t="shared" si="39"/>
        <v>149899.57852106521</v>
      </c>
      <c r="CY14" s="3">
        <f t="shared" si="39"/>
        <v>152897.57009148653</v>
      </c>
      <c r="CZ14" s="3">
        <f t="shared" si="39"/>
        <v>155955.52149331625</v>
      </c>
      <c r="DA14" s="3">
        <f t="shared" si="39"/>
        <v>159074.63192318258</v>
      </c>
      <c r="DB14" s="3">
        <f t="shared" si="39"/>
        <v>162256.12456164623</v>
      </c>
      <c r="DC14" s="3">
        <f t="shared" si="39"/>
        <v>165501.24705287916</v>
      </c>
      <c r="DD14" s="3">
        <f t="shared" si="39"/>
        <v>168811.27199393674</v>
      </c>
      <c r="DE14" s="3">
        <f t="shared" si="39"/>
        <v>172187.49743381547</v>
      </c>
      <c r="DF14" s="3">
        <f t="shared" si="39"/>
        <v>175631.2473824918</v>
      </c>
      <c r="DG14" s="3">
        <f t="shared" si="39"/>
        <v>179143.87233014163</v>
      </c>
      <c r="DH14" s="3">
        <f t="shared" si="39"/>
        <v>182726.74977674446</v>
      </c>
      <c r="DI14" s="3">
        <f t="shared" si="39"/>
        <v>186381.28477227935</v>
      </c>
      <c r="DJ14" s="3">
        <f t="shared" si="39"/>
        <v>190108.91046772496</v>
      </c>
      <c r="DK14" s="3">
        <f t="shared" si="39"/>
        <v>193911.08867707945</v>
      </c>
      <c r="DL14" s="3">
        <f t="shared" si="39"/>
        <v>197789.31045062104</v>
      </c>
      <c r="DM14" s="3">
        <f t="shared" si="39"/>
        <v>201745.09665963345</v>
      </c>
      <c r="DN14" s="3">
        <f t="shared" si="39"/>
        <v>205779.99859282613</v>
      </c>
    </row>
    <row r="15" spans="1:118" x14ac:dyDescent="0.2">
      <c r="A15" s="1" t="s">
        <v>2</v>
      </c>
      <c r="E15" s="1">
        <v>427.75709999999998</v>
      </c>
      <c r="K15" s="1">
        <v>444</v>
      </c>
      <c r="L15" s="1">
        <v>441</v>
      </c>
      <c r="M15" s="1">
        <v>429</v>
      </c>
      <c r="N15" s="1">
        <v>429</v>
      </c>
      <c r="O15" s="1">
        <v>429</v>
      </c>
      <c r="P15" s="1">
        <v>429</v>
      </c>
      <c r="Q15" s="1">
        <v>429</v>
      </c>
      <c r="R15" s="1">
        <v>429</v>
      </c>
    </row>
    <row r="16" spans="1:118" x14ac:dyDescent="0.2">
      <c r="A16" s="1" t="s">
        <v>24</v>
      </c>
      <c r="K16" s="5">
        <f>K14/K15</f>
        <v>10.14144144144144</v>
      </c>
      <c r="L16" s="5">
        <f t="shared" ref="L16:R16" si="40">L14/L15</f>
        <v>12.26938775510205</v>
      </c>
      <c r="M16" s="5">
        <f t="shared" si="40"/>
        <v>20.307226107226107</v>
      </c>
      <c r="N16" s="5">
        <f t="shared" si="40"/>
        <v>24.553395459924687</v>
      </c>
      <c r="O16" s="5">
        <f t="shared" si="40"/>
        <v>31.81679077331038</v>
      </c>
      <c r="P16" s="5">
        <f t="shared" si="40"/>
        <v>40.881433855906678</v>
      </c>
      <c r="Q16" s="5">
        <f t="shared" si="40"/>
        <v>52.172001395434627</v>
      </c>
      <c r="R16" s="5">
        <f t="shared" si="40"/>
        <v>66.210778078591275</v>
      </c>
    </row>
    <row r="17" spans="1:118" x14ac:dyDescent="0.2">
      <c r="T17" s="1" t="s">
        <v>36</v>
      </c>
      <c r="U17" s="6">
        <v>0.04</v>
      </c>
    </row>
    <row r="18" spans="1:118" x14ac:dyDescent="0.2">
      <c r="A18" s="1" t="s">
        <v>25</v>
      </c>
      <c r="L18" s="4">
        <f>L2/K2-1</f>
        <v>6.6669829672154624E-2</v>
      </c>
      <c r="M18" s="4">
        <f>M2/L2-1</f>
        <v>0.15647045217994671</v>
      </c>
      <c r="N18" s="4">
        <f t="shared" ref="N18:R18" si="41">N2/M2-1</f>
        <v>0.17948717948717952</v>
      </c>
      <c r="O18" s="4">
        <f t="shared" si="41"/>
        <v>0.15999999999999992</v>
      </c>
      <c r="P18" s="4">
        <f t="shared" si="41"/>
        <v>0.15999999999999992</v>
      </c>
      <c r="Q18" s="4">
        <f t="shared" si="41"/>
        <v>0.15999999999999992</v>
      </c>
      <c r="R18" s="4">
        <f t="shared" si="41"/>
        <v>0.15999999999999992</v>
      </c>
      <c r="T18" s="1" t="s">
        <v>34</v>
      </c>
      <c r="U18" s="6">
        <v>0.02</v>
      </c>
    </row>
    <row r="19" spans="1:118" x14ac:dyDescent="0.2">
      <c r="A19" s="1" t="s">
        <v>31</v>
      </c>
      <c r="K19" s="4">
        <f>K13/K12</f>
        <v>0.14635625995298401</v>
      </c>
      <c r="L19" s="4">
        <f t="shared" ref="L19:M19" si="42">L13/L12</f>
        <v>0.1284430269643374</v>
      </c>
      <c r="M19" s="4">
        <f t="shared" si="42"/>
        <v>0.12583033976198599</v>
      </c>
      <c r="N19" s="4">
        <v>0.19</v>
      </c>
      <c r="O19" s="4">
        <v>0.19</v>
      </c>
      <c r="P19" s="4">
        <v>0.19</v>
      </c>
      <c r="Q19" s="4">
        <v>0.19</v>
      </c>
      <c r="R19" s="4">
        <v>0.19</v>
      </c>
      <c r="T19" s="1" t="s">
        <v>33</v>
      </c>
      <c r="U19" s="6">
        <v>8.5000000000000006E-2</v>
      </c>
    </row>
    <row r="20" spans="1:118" x14ac:dyDescent="0.2">
      <c r="T20" s="1" t="s">
        <v>32</v>
      </c>
      <c r="U20" s="1">
        <f>NPV(U19,N26:XFD26)+Sheet1!D5-Sheet1!D6</f>
        <v>446912.05725859012</v>
      </c>
    </row>
    <row r="21" spans="1:118" x14ac:dyDescent="0.2">
      <c r="A21" s="1" t="s">
        <v>26</v>
      </c>
      <c r="K21" s="4">
        <f>K4/K2</f>
        <v>0.39370878208473692</v>
      </c>
      <c r="L21" s="4">
        <f t="shared" ref="L21:M21" si="43">L4/L2</f>
        <v>0.415380463952223</v>
      </c>
      <c r="M21" s="4">
        <f t="shared" si="43"/>
        <v>0.46055384615384609</v>
      </c>
      <c r="N21" s="4">
        <f>M21*1.05</f>
        <v>0.4835815384615384</v>
      </c>
      <c r="O21" s="4">
        <f t="shared" ref="O21:R21" si="44">N21*1.05</f>
        <v>0.50776061538461537</v>
      </c>
      <c r="P21" s="4">
        <f t="shared" si="44"/>
        <v>0.53314864615384616</v>
      </c>
      <c r="Q21" s="4">
        <f t="shared" si="44"/>
        <v>0.55980607846153851</v>
      </c>
      <c r="R21" s="4">
        <f t="shared" si="44"/>
        <v>0.58779638238461551</v>
      </c>
      <c r="T21" s="1" t="s">
        <v>1</v>
      </c>
      <c r="U21" s="5">
        <f>U20/Sheet1!D3</f>
        <v>1044.7799867228157</v>
      </c>
    </row>
    <row r="22" spans="1:118" x14ac:dyDescent="0.2">
      <c r="A22" s="1" t="s">
        <v>38</v>
      </c>
      <c r="K22" s="4">
        <f t="shared" ref="K22:R22" si="45">K9/K2</f>
        <v>0.17851370372127592</v>
      </c>
      <c r="L22" s="4">
        <f t="shared" si="45"/>
        <v>0.20624316125646075</v>
      </c>
      <c r="M22" s="4">
        <f t="shared" si="45"/>
        <v>0.26710512820512816</v>
      </c>
      <c r="N22" s="4">
        <f t="shared" si="45"/>
        <v>0.29013282051282047</v>
      </c>
      <c r="O22" s="4">
        <f t="shared" si="45"/>
        <v>0.31431189743589749</v>
      </c>
      <c r="P22" s="4">
        <f t="shared" si="45"/>
        <v>0.33969992820512823</v>
      </c>
      <c r="Q22" s="4">
        <f t="shared" si="45"/>
        <v>0.36635736051282058</v>
      </c>
      <c r="R22" s="4">
        <f t="shared" si="45"/>
        <v>0.39434766443589758</v>
      </c>
      <c r="T22" s="1" t="s">
        <v>35</v>
      </c>
      <c r="U22" s="4">
        <f>U21/Sheet1!D2-1</f>
        <v>-0.11832912512842553</v>
      </c>
    </row>
    <row r="23" spans="1:118" x14ac:dyDescent="0.2">
      <c r="L23" s="4"/>
      <c r="M23" s="4"/>
    </row>
    <row r="24" spans="1:118" x14ac:dyDescent="0.2">
      <c r="A24" s="1" t="s">
        <v>27</v>
      </c>
      <c r="K24" s="1">
        <v>2026</v>
      </c>
      <c r="L24" s="1">
        <v>7274</v>
      </c>
      <c r="M24" s="1">
        <v>7361</v>
      </c>
    </row>
    <row r="25" spans="1:118" x14ac:dyDescent="0.2">
      <c r="A25" s="1" t="s">
        <v>28</v>
      </c>
      <c r="K25" s="1">
        <f>407+911</f>
        <v>1318</v>
      </c>
      <c r="L25" s="1">
        <f>348+504</f>
        <v>852</v>
      </c>
      <c r="M25" s="1">
        <f>439+1742</f>
        <v>2181</v>
      </c>
    </row>
    <row r="26" spans="1:118" s="3" customFormat="1" ht="15" x14ac:dyDescent="0.25">
      <c r="A26" s="3" t="s">
        <v>29</v>
      </c>
      <c r="K26" s="3">
        <f>K24-K25</f>
        <v>708</v>
      </c>
      <c r="L26" s="3">
        <f t="shared" ref="L26:M26" si="46">L24-L25</f>
        <v>6422</v>
      </c>
      <c r="M26" s="3">
        <f t="shared" si="46"/>
        <v>5180</v>
      </c>
      <c r="N26" s="3">
        <f>N27*N14</f>
        <v>12640.087982769228</v>
      </c>
      <c r="O26" s="3">
        <f t="shared" ref="O26:R26" si="47">O27*O14</f>
        <v>16543.076729001186</v>
      </c>
      <c r="P26" s="3">
        <f t="shared" si="47"/>
        <v>21468.781968216073</v>
      </c>
      <c r="Q26" s="3">
        <f t="shared" si="47"/>
        <v>27671.975009962665</v>
      </c>
      <c r="R26" s="3">
        <f t="shared" si="47"/>
        <v>35469.308764273359</v>
      </c>
      <c r="S26" s="3">
        <f>R26*(1+$U$18)</f>
        <v>36178.694939558824</v>
      </c>
      <c r="T26" s="3">
        <f t="shared" ref="T26:CE26" si="48">S26*(1+$U$18)</f>
        <v>36902.268838349999</v>
      </c>
      <c r="U26" s="3">
        <f t="shared" si="48"/>
        <v>37640.314215117003</v>
      </c>
      <c r="V26" s="3">
        <f t="shared" si="48"/>
        <v>38393.120499419347</v>
      </c>
      <c r="W26" s="3">
        <f t="shared" si="48"/>
        <v>39160.982909407736</v>
      </c>
      <c r="X26" s="3">
        <f t="shared" si="48"/>
        <v>39944.202567595894</v>
      </c>
      <c r="Y26" s="3">
        <f t="shared" si="48"/>
        <v>40743.086618947811</v>
      </c>
      <c r="Z26" s="3">
        <f t="shared" si="48"/>
        <v>41557.94835132677</v>
      </c>
      <c r="AA26" s="3">
        <f t="shared" si="48"/>
        <v>42389.107318353308</v>
      </c>
      <c r="AB26" s="3">
        <f t="shared" si="48"/>
        <v>43236.889464720378</v>
      </c>
      <c r="AC26" s="3">
        <f t="shared" si="48"/>
        <v>44101.627254014784</v>
      </c>
      <c r="AD26" s="3">
        <f t="shared" si="48"/>
        <v>44983.659799095083</v>
      </c>
      <c r="AE26" s="3">
        <f t="shared" si="48"/>
        <v>45883.332995076984</v>
      </c>
      <c r="AF26" s="3">
        <f t="shared" si="48"/>
        <v>46800.999654978521</v>
      </c>
      <c r="AG26" s="3">
        <f t="shared" si="48"/>
        <v>47737.019648078094</v>
      </c>
      <c r="AH26" s="3">
        <f t="shared" si="48"/>
        <v>48691.760041039655</v>
      </c>
      <c r="AI26" s="3">
        <f t="shared" si="48"/>
        <v>49665.59524186045</v>
      </c>
      <c r="AJ26" s="3">
        <f t="shared" si="48"/>
        <v>50658.90714669766</v>
      </c>
      <c r="AK26" s="3">
        <f t="shared" si="48"/>
        <v>51672.085289631614</v>
      </c>
      <c r="AL26" s="3">
        <f t="shared" si="48"/>
        <v>52705.526995424247</v>
      </c>
      <c r="AM26" s="3">
        <f t="shared" si="48"/>
        <v>53759.637535332731</v>
      </c>
      <c r="AN26" s="3">
        <f t="shared" si="48"/>
        <v>54834.830286039389</v>
      </c>
      <c r="AO26" s="3">
        <f t="shared" si="48"/>
        <v>55931.526891760179</v>
      </c>
      <c r="AP26" s="3">
        <f t="shared" si="48"/>
        <v>57050.157429595383</v>
      </c>
      <c r="AQ26" s="3">
        <f t="shared" si="48"/>
        <v>58191.160578187293</v>
      </c>
      <c r="AR26" s="3">
        <f t="shared" si="48"/>
        <v>59354.983789751037</v>
      </c>
      <c r="AS26" s="3">
        <f t="shared" si="48"/>
        <v>60542.083465546057</v>
      </c>
      <c r="AT26" s="3">
        <f t="shared" si="48"/>
        <v>61752.925134856981</v>
      </c>
      <c r="AU26" s="3">
        <f t="shared" si="48"/>
        <v>62987.98363755412</v>
      </c>
      <c r="AV26" s="3">
        <f t="shared" si="48"/>
        <v>64247.743310305203</v>
      </c>
      <c r="AW26" s="3">
        <f t="shared" si="48"/>
        <v>65532.698176511309</v>
      </c>
      <c r="AX26" s="3">
        <f t="shared" si="48"/>
        <v>66843.352140041534</v>
      </c>
      <c r="AY26" s="3">
        <f t="shared" si="48"/>
        <v>68180.219182842367</v>
      </c>
      <c r="AZ26" s="3">
        <f t="shared" si="48"/>
        <v>69543.82356649921</v>
      </c>
      <c r="BA26" s="3">
        <f t="shared" si="48"/>
        <v>70934.7000378292</v>
      </c>
      <c r="BB26" s="3">
        <f t="shared" si="48"/>
        <v>72353.394038585786</v>
      </c>
      <c r="BC26" s="3">
        <f t="shared" si="48"/>
        <v>73800.461919357505</v>
      </c>
      <c r="BD26" s="3">
        <f t="shared" si="48"/>
        <v>75276.471157744658</v>
      </c>
      <c r="BE26" s="3">
        <f t="shared" si="48"/>
        <v>76782.000580899548</v>
      </c>
      <c r="BF26" s="3">
        <f t="shared" si="48"/>
        <v>78317.640592517535</v>
      </c>
      <c r="BG26" s="3">
        <f t="shared" si="48"/>
        <v>79883.99340436788</v>
      </c>
      <c r="BH26" s="3">
        <f t="shared" si="48"/>
        <v>81481.673272455242</v>
      </c>
      <c r="BI26" s="3">
        <f t="shared" si="48"/>
        <v>83111.30673790435</v>
      </c>
      <c r="BJ26" s="3">
        <f t="shared" si="48"/>
        <v>84773.532872662443</v>
      </c>
      <c r="BK26" s="3">
        <f t="shared" si="48"/>
        <v>86469.00353011569</v>
      </c>
      <c r="BL26" s="3">
        <f t="shared" si="48"/>
        <v>88198.383600718007</v>
      </c>
      <c r="BM26" s="3">
        <f t="shared" si="48"/>
        <v>89962.351272732369</v>
      </c>
      <c r="BN26" s="3">
        <f t="shared" si="48"/>
        <v>91761.598298187018</v>
      </c>
      <c r="BO26" s="3">
        <f t="shared" si="48"/>
        <v>93596.830264150762</v>
      </c>
      <c r="BP26" s="3">
        <f t="shared" si="48"/>
        <v>95468.766869433777</v>
      </c>
      <c r="BQ26" s="3">
        <f t="shared" si="48"/>
        <v>97378.142206822449</v>
      </c>
      <c r="BR26" s="3">
        <f t="shared" si="48"/>
        <v>99325.705050958903</v>
      </c>
      <c r="BS26" s="3">
        <f t="shared" si="48"/>
        <v>101312.21915197808</v>
      </c>
      <c r="BT26" s="3">
        <f t="shared" si="48"/>
        <v>103338.46353501764</v>
      </c>
      <c r="BU26" s="3">
        <f t="shared" si="48"/>
        <v>105405.232805718</v>
      </c>
      <c r="BV26" s="3">
        <f t="shared" si="48"/>
        <v>107513.33746183236</v>
      </c>
      <c r="BW26" s="3">
        <f t="shared" si="48"/>
        <v>109663.604211069</v>
      </c>
      <c r="BX26" s="3">
        <f t="shared" si="48"/>
        <v>111856.87629529038</v>
      </c>
      <c r="BY26" s="3">
        <f t="shared" si="48"/>
        <v>114094.01382119619</v>
      </c>
      <c r="BZ26" s="3">
        <f t="shared" si="48"/>
        <v>116375.89409762011</v>
      </c>
      <c r="CA26" s="3">
        <f t="shared" si="48"/>
        <v>118703.41197957251</v>
      </c>
      <c r="CB26" s="3">
        <f t="shared" si="48"/>
        <v>121077.48021916396</v>
      </c>
      <c r="CC26" s="3">
        <f t="shared" si="48"/>
        <v>123499.02982354724</v>
      </c>
      <c r="CD26" s="3">
        <f t="shared" si="48"/>
        <v>125969.0104200182</v>
      </c>
      <c r="CE26" s="3">
        <f t="shared" si="48"/>
        <v>128488.39062841857</v>
      </c>
      <c r="CF26" s="3">
        <f t="shared" ref="CF26:DN26" si="49">CE26*(1+$U$18)</f>
        <v>131058.15844098694</v>
      </c>
      <c r="CG26" s="3">
        <f t="shared" si="49"/>
        <v>133679.32160980668</v>
      </c>
      <c r="CH26" s="3">
        <f t="shared" si="49"/>
        <v>136352.90804200282</v>
      </c>
      <c r="CI26" s="3">
        <f t="shared" si="49"/>
        <v>139079.96620284289</v>
      </c>
      <c r="CJ26" s="3">
        <f t="shared" si="49"/>
        <v>141861.56552689974</v>
      </c>
      <c r="CK26" s="3">
        <f t="shared" si="49"/>
        <v>144698.79683743772</v>
      </c>
      <c r="CL26" s="3">
        <f t="shared" si="49"/>
        <v>147592.77277418648</v>
      </c>
      <c r="CM26" s="3">
        <f t="shared" si="49"/>
        <v>150544.62822967023</v>
      </c>
      <c r="CN26" s="3">
        <f t="shared" si="49"/>
        <v>153555.52079426363</v>
      </c>
      <c r="CO26" s="3">
        <f t="shared" si="49"/>
        <v>156626.63121014892</v>
      </c>
      <c r="CP26" s="3">
        <f t="shared" si="49"/>
        <v>159759.1638343519</v>
      </c>
      <c r="CQ26" s="3">
        <f t="shared" si="49"/>
        <v>162954.34711103895</v>
      </c>
      <c r="CR26" s="3">
        <f t="shared" si="49"/>
        <v>166213.43405325973</v>
      </c>
      <c r="CS26" s="3">
        <f t="shared" si="49"/>
        <v>169537.70273432494</v>
      </c>
      <c r="CT26" s="3">
        <f t="shared" si="49"/>
        <v>172928.45678901143</v>
      </c>
      <c r="CU26" s="3">
        <f t="shared" si="49"/>
        <v>176387.02592479167</v>
      </c>
      <c r="CV26" s="3">
        <f t="shared" si="49"/>
        <v>179914.76644328752</v>
      </c>
      <c r="CW26" s="3">
        <f t="shared" si="49"/>
        <v>183513.06177215328</v>
      </c>
      <c r="CX26" s="3">
        <f t="shared" si="49"/>
        <v>187183.32300759634</v>
      </c>
      <c r="CY26" s="3">
        <f t="shared" si="49"/>
        <v>190926.98946774827</v>
      </c>
      <c r="CZ26" s="3">
        <f t="shared" si="49"/>
        <v>194745.52925710325</v>
      </c>
      <c r="DA26" s="3">
        <f t="shared" si="49"/>
        <v>198640.43984224531</v>
      </c>
      <c r="DB26" s="3">
        <f t="shared" si="49"/>
        <v>202613.24863909022</v>
      </c>
      <c r="DC26" s="3">
        <f t="shared" si="49"/>
        <v>206665.51361187204</v>
      </c>
      <c r="DD26" s="3">
        <f t="shared" si="49"/>
        <v>210798.82388410947</v>
      </c>
      <c r="DE26" s="3">
        <f t="shared" si="49"/>
        <v>215014.80036179165</v>
      </c>
      <c r="DF26" s="3">
        <f t="shared" si="49"/>
        <v>219315.09636902748</v>
      </c>
      <c r="DG26" s="3">
        <f t="shared" si="49"/>
        <v>223701.39829640804</v>
      </c>
      <c r="DH26" s="3">
        <f t="shared" si="49"/>
        <v>228175.4262623362</v>
      </c>
      <c r="DI26" s="3">
        <f t="shared" si="49"/>
        <v>232738.93478758293</v>
      </c>
      <c r="DJ26" s="3">
        <f t="shared" si="49"/>
        <v>237393.71348333458</v>
      </c>
      <c r="DK26" s="3">
        <f t="shared" si="49"/>
        <v>242141.58775300128</v>
      </c>
      <c r="DL26" s="3">
        <f t="shared" si="49"/>
        <v>246984.41950806131</v>
      </c>
      <c r="DM26" s="3">
        <f t="shared" si="49"/>
        <v>251924.10789822254</v>
      </c>
      <c r="DN26" s="3">
        <f t="shared" si="49"/>
        <v>256962.59005618701</v>
      </c>
    </row>
    <row r="27" spans="1:118" x14ac:dyDescent="0.2">
      <c r="K27" s="4">
        <f>K26/K14</f>
        <v>0.15723549791241009</v>
      </c>
      <c r="L27" s="4">
        <f>L26/L14</f>
        <v>1.1868854882826931</v>
      </c>
      <c r="M27" s="4">
        <f>M26/M14</f>
        <v>0.59459583553341455</v>
      </c>
      <c r="N27" s="4">
        <v>1.2</v>
      </c>
      <c r="O27" s="4">
        <f>N27*1.01</f>
        <v>1.212</v>
      </c>
      <c r="P27" s="4">
        <f t="shared" ref="P27:R27" si="50">O27*1.01</f>
        <v>1.2241199999999999</v>
      </c>
      <c r="Q27" s="4">
        <f t="shared" si="50"/>
        <v>1.2363611999999999</v>
      </c>
      <c r="R27" s="4">
        <f t="shared" si="50"/>
        <v>1.2487248119999999</v>
      </c>
    </row>
    <row r="28" spans="1:118" x14ac:dyDescent="0.2">
      <c r="A28" s="1" t="s">
        <v>30</v>
      </c>
      <c r="E28" s="1">
        <f>E30-E32</f>
        <v>-8547.5999999999985</v>
      </c>
      <c r="M28" s="1">
        <f>M30-M32</f>
        <v>-8547.5999999999985</v>
      </c>
      <c r="N28" s="1">
        <f>M28+N14</f>
        <v>1985.8066523076923</v>
      </c>
      <c r="O28" s="1">
        <f t="shared" ref="O28:R28" si="51">N28+O14</f>
        <v>15635.209894057845</v>
      </c>
      <c r="P28" s="1">
        <f t="shared" si="51"/>
        <v>33173.345018241809</v>
      </c>
      <c r="Q28" s="1">
        <f t="shared" si="51"/>
        <v>55555.133616883264</v>
      </c>
      <c r="R28" s="1">
        <f t="shared" si="51"/>
        <v>83959.557412598922</v>
      </c>
    </row>
    <row r="30" spans="1:118" x14ac:dyDescent="0.2">
      <c r="A30" s="1" t="s">
        <v>4</v>
      </c>
      <c r="E30" s="1">
        <f>7804.7+1779</f>
        <v>9583.7000000000007</v>
      </c>
      <c r="M30" s="1">
        <f>7804.7+1779</f>
        <v>9583.7000000000007</v>
      </c>
    </row>
    <row r="32" spans="1:118" x14ac:dyDescent="0.2">
      <c r="A32" s="1" t="s">
        <v>5</v>
      </c>
      <c r="E32" s="1">
        <f>1780.8+13798.3+2552.2</f>
        <v>18131.3</v>
      </c>
      <c r="M32" s="1">
        <f>1780.8+13798.3+2552.2</f>
        <v>18131.3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2025-04-13T00:30:36Z</dcterms:created>
  <dcterms:modified xsi:type="dcterms:W3CDTF">2025-05-29T22:30:04Z</dcterms:modified>
</cp:coreProperties>
</file>