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AAE63A0-EB83-460D-9381-70C5E7BFD2AB}" xr6:coauthVersionLast="47" xr6:coauthVersionMax="47" xr10:uidLastSave="{00000000-0000-0000-0000-000000000000}"/>
  <bookViews>
    <workbookView xWindow="6045" yWindow="780" windowWidth="17745" windowHeight="14640" activeTab="1" xr2:uid="{3E65A911-C47E-4C1B-8C65-2C5108F0BD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N4" i="2"/>
  <c r="O4" i="2" s="1"/>
  <c r="P4" i="2" s="1"/>
  <c r="Q4" i="2" s="1"/>
  <c r="R4" i="2" s="1"/>
  <c r="S4" i="2" s="1"/>
  <c r="T4" i="2" s="1"/>
  <c r="U4" i="2" s="1"/>
  <c r="V4" i="2" s="1"/>
  <c r="J21" i="2"/>
  <c r="K19" i="2"/>
  <c r="L19" i="2"/>
  <c r="J19" i="2"/>
  <c r="C4" i="2"/>
  <c r="C6" i="2" s="1"/>
  <c r="C8" i="2" s="1"/>
  <c r="C11" i="2" s="1"/>
  <c r="C13" i="2" s="1"/>
  <c r="D4" i="2"/>
  <c r="E4" i="2"/>
  <c r="E6" i="2" s="1"/>
  <c r="E8" i="2" s="1"/>
  <c r="E11" i="2" s="1"/>
  <c r="E13" i="2" s="1"/>
  <c r="F4" i="2"/>
  <c r="F6" i="2" s="1"/>
  <c r="F8" i="2" s="1"/>
  <c r="F11" i="2" s="1"/>
  <c r="F13" i="2" s="1"/>
  <c r="B4" i="2"/>
  <c r="B6" i="2" s="1"/>
  <c r="B8" i="2" s="1"/>
  <c r="B11" i="2" s="1"/>
  <c r="B13" i="2" s="1"/>
  <c r="I4" i="2"/>
  <c r="I6" i="2" s="1"/>
  <c r="I8" i="2" s="1"/>
  <c r="I11" i="2" s="1"/>
  <c r="I13" i="2" s="1"/>
  <c r="H4" i="2"/>
  <c r="H6" i="2" s="1"/>
  <c r="H8" i="2" s="1"/>
  <c r="H11" i="2" s="1"/>
  <c r="H13" i="2" s="1"/>
  <c r="K4" i="2"/>
  <c r="K6" i="2" s="1"/>
  <c r="L4" i="2"/>
  <c r="J4" i="2"/>
  <c r="J6" i="2" s="1"/>
  <c r="J8" i="2" s="1"/>
  <c r="J11" i="2" s="1"/>
  <c r="J13" i="2" s="1"/>
  <c r="I25" i="2"/>
  <c r="J25" i="2"/>
  <c r="K25" i="2"/>
  <c r="L25" i="2"/>
  <c r="H25" i="2"/>
  <c r="D31" i="2"/>
  <c r="D27" i="2" s="1"/>
  <c r="L6" i="2"/>
  <c r="L8" i="2" s="1"/>
  <c r="L11" i="2" s="1"/>
  <c r="L13" i="2" s="1"/>
  <c r="D6" i="2"/>
  <c r="D8" i="2" s="1"/>
  <c r="D11" i="2" s="1"/>
  <c r="D13" i="2" s="1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D6" i="1"/>
  <c r="D4" i="1"/>
  <c r="D7" i="1" s="1"/>
  <c r="K8" i="2" l="1"/>
  <c r="K11" i="2" s="1"/>
  <c r="K13" i="2" s="1"/>
  <c r="K21" i="2"/>
  <c r="M17" i="2"/>
  <c r="M7" i="2" s="1"/>
  <c r="L21" i="2"/>
  <c r="L17" i="2"/>
  <c r="K17" i="2"/>
  <c r="E27" i="2"/>
  <c r="L27" i="2" s="1"/>
  <c r="M10" i="2" s="1"/>
  <c r="J18" i="2"/>
  <c r="K18" i="2"/>
  <c r="L18" i="2"/>
  <c r="N5" i="2" l="1"/>
  <c r="N6" i="2" s="1"/>
  <c r="N17" i="2"/>
  <c r="N7" i="2"/>
  <c r="N8" i="2" l="1"/>
  <c r="O17" i="2"/>
  <c r="O7" i="2" s="1"/>
  <c r="O5" i="2"/>
  <c r="O6" i="2" s="1"/>
  <c r="O8" i="2" l="1"/>
  <c r="P17" i="2"/>
  <c r="P7" i="2" s="1"/>
  <c r="P5" i="2"/>
  <c r="P6" i="2" s="1"/>
  <c r="Q5" i="2" l="1"/>
  <c r="Q6" i="2" s="1"/>
  <c r="Q17" i="2"/>
  <c r="Q7" i="2" s="1"/>
  <c r="P8" i="2"/>
  <c r="Q8" i="2" l="1"/>
  <c r="R17" i="2"/>
  <c r="R7" i="2" s="1"/>
  <c r="R5" i="2"/>
  <c r="R6" i="2" s="1"/>
  <c r="R8" i="2" l="1"/>
  <c r="S5" i="2"/>
  <c r="S17" i="2"/>
  <c r="S7" i="2" s="1"/>
  <c r="S6" i="2"/>
  <c r="S8" i="2" l="1"/>
  <c r="T17" i="2"/>
  <c r="T7" i="2" s="1"/>
  <c r="T5" i="2"/>
  <c r="T6" i="2" s="1"/>
  <c r="T8" i="2" s="1"/>
  <c r="U5" i="2" l="1"/>
  <c r="U6" i="2" s="1"/>
  <c r="U17" i="2"/>
  <c r="U7" i="2" s="1"/>
  <c r="U8" i="2" l="1"/>
  <c r="V17" i="2"/>
  <c r="V7" i="2" s="1"/>
  <c r="V5" i="2"/>
  <c r="V6" i="2" s="1"/>
  <c r="V8" i="2" l="1"/>
  <c r="M5" i="2"/>
  <c r="M6" i="2" s="1"/>
  <c r="M8" i="2" s="1"/>
  <c r="M11" i="2" s="1"/>
  <c r="M12" i="2" l="1"/>
  <c r="M13" i="2" s="1"/>
  <c r="M25" i="2" s="1"/>
  <c r="M27" i="2" l="1"/>
  <c r="N10" i="2" l="1"/>
  <c r="N11" i="2" s="1"/>
  <c r="N12" i="2" l="1"/>
  <c r="N13" i="2" s="1"/>
  <c r="N25" i="2" s="1"/>
  <c r="N27" i="2" l="1"/>
  <c r="O10" i="2" l="1"/>
  <c r="O11" i="2" s="1"/>
  <c r="O12" i="2" l="1"/>
  <c r="O13" i="2" s="1"/>
  <c r="O25" i="2" s="1"/>
  <c r="O27" i="2" l="1"/>
  <c r="P10" i="2" l="1"/>
  <c r="P11" i="2" s="1"/>
  <c r="P12" i="2" l="1"/>
  <c r="P13" i="2" s="1"/>
  <c r="P25" i="2" s="1"/>
  <c r="P27" i="2" l="1"/>
  <c r="Q10" i="2" l="1"/>
  <c r="Q11" i="2" s="1"/>
  <c r="Q12" i="2" l="1"/>
  <c r="Q13" i="2" s="1"/>
  <c r="Q25" i="2" s="1"/>
  <c r="Q27" i="2" l="1"/>
  <c r="R10" i="2" l="1"/>
  <c r="R11" i="2" s="1"/>
  <c r="R12" i="2" l="1"/>
  <c r="R13" i="2" s="1"/>
  <c r="R25" i="2" s="1"/>
  <c r="R27" i="2" l="1"/>
  <c r="S10" i="2"/>
  <c r="S11" i="2" s="1"/>
  <c r="S12" i="2" l="1"/>
  <c r="S13" i="2" s="1"/>
  <c r="S25" i="2" s="1"/>
  <c r="S27" i="2" l="1"/>
  <c r="T10" i="2"/>
  <c r="T11" i="2" s="1"/>
  <c r="T12" i="2" l="1"/>
  <c r="T13" i="2" s="1"/>
  <c r="T25" i="2" s="1"/>
  <c r="T27" i="2" l="1"/>
  <c r="U10" i="2"/>
  <c r="U11" i="2" s="1"/>
  <c r="U12" i="2" l="1"/>
  <c r="U13" i="2" s="1"/>
  <c r="U25" i="2" s="1"/>
  <c r="U27" i="2" l="1"/>
  <c r="V10" i="2" s="1"/>
  <c r="V11" i="2" s="1"/>
  <c r="V12" i="2" l="1"/>
  <c r="V13" i="2" s="1"/>
  <c r="V25" i="2" l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Y21" i="2" s="1"/>
  <c r="W13" i="2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V27" i="2"/>
  <c r="Y22" i="2" l="1"/>
  <c r="Y23" i="2" s="1"/>
</calcChain>
</file>

<file path=xl/sharedStrings.xml><?xml version="1.0" encoding="utf-8"?>
<sst xmlns="http://schemas.openxmlformats.org/spreadsheetml/2006/main" count="45" uniqueCount="38">
  <si>
    <t>STZ</t>
  </si>
  <si>
    <t>Price</t>
  </si>
  <si>
    <t>Shares</t>
  </si>
  <si>
    <t>MC</t>
  </si>
  <si>
    <t>Cash</t>
  </si>
  <si>
    <t>Debt</t>
  </si>
  <si>
    <t>EV</t>
  </si>
  <si>
    <t>Q324</t>
  </si>
  <si>
    <t>Q124</t>
  </si>
  <si>
    <t>Q224</t>
  </si>
  <si>
    <t>Q424</t>
  </si>
  <si>
    <t>Q125</t>
  </si>
  <si>
    <t>Sales</t>
  </si>
  <si>
    <t>Excise Tax</t>
  </si>
  <si>
    <t>Revenue</t>
  </si>
  <si>
    <t>COGS</t>
  </si>
  <si>
    <t>Gross Profit</t>
  </si>
  <si>
    <t>SG&amp;A</t>
  </si>
  <si>
    <t>Operating Income</t>
  </si>
  <si>
    <t>Interest</t>
  </si>
  <si>
    <t>Unconsolidated Investments</t>
  </si>
  <si>
    <t>Pretax Income</t>
  </si>
  <si>
    <t>Tax</t>
  </si>
  <si>
    <t>Net Income</t>
  </si>
  <si>
    <t>Revenue Growth</t>
  </si>
  <si>
    <t>Tax Rate</t>
  </si>
  <si>
    <t>Gross Margin</t>
  </si>
  <si>
    <t>CFFO</t>
  </si>
  <si>
    <t>CX</t>
  </si>
  <si>
    <t>FCF</t>
  </si>
  <si>
    <t>ROIC</t>
  </si>
  <si>
    <t>Maturity</t>
  </si>
  <si>
    <t>Discount</t>
  </si>
  <si>
    <t>NPV</t>
  </si>
  <si>
    <t>Diff</t>
  </si>
  <si>
    <t>Net Cash</t>
  </si>
  <si>
    <t>Excise Tax Rate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</si>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</sst>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6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19050</xdr:rowOff>
    </xdr:from>
    <xdr:to>
      <xdr:col>4</xdr:col>
      <xdr:colOff>19050</xdr:colOff>
      <xdr:row>38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B77CFDA-BEDF-A1BE-F34C-75E61668EC95}"/>
            </a:ext>
          </a:extLst>
        </xdr:cNvPr>
        <xdr:cNvCxnSpPr/>
      </xdr:nvCxnSpPr>
      <xdr:spPr>
        <a:xfrm flipH="1">
          <a:off x="2419350" y="19050"/>
          <a:ext cx="38100" cy="6819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0</xdr:row>
      <xdr:rowOff>0</xdr:rowOff>
    </xdr:from>
    <xdr:to>
      <xdr:col>12</xdr:col>
      <xdr:colOff>9525</xdr:colOff>
      <xdr:row>38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88AB55-AD76-48FF-9A1D-233061E2E71C}"/>
            </a:ext>
          </a:extLst>
        </xdr:cNvPr>
        <xdr:cNvCxnSpPr/>
      </xdr:nvCxnSpPr>
      <xdr:spPr>
        <a:xfrm flipH="1">
          <a:off x="7286625" y="0"/>
          <a:ext cx="38100" cy="6819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E4BD-A562-4695-AF92-15C11A2F3E13}">
  <dimension ref="A1:E7"/>
  <sheetViews>
    <sheetView zoomScale="295" zoomScaleNormal="295" workbookViewId="0">
      <selection activeCell="D3" sqref="D3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1">
        <v>180</v>
      </c>
    </row>
    <row r="3" spans="1:5" x14ac:dyDescent="0.2">
      <c r="C3" s="9" t="s">
        <v>2</v>
      </c>
      <c r="D3" s="1">
        <v>180.7</v>
      </c>
      <c r="E3" s="9" t="s">
        <v>7</v>
      </c>
    </row>
    <row r="4" spans="1:5" x14ac:dyDescent="0.2">
      <c r="C4" s="9" t="s">
        <v>3</v>
      </c>
      <c r="D4" s="1">
        <f>D3*D2</f>
        <v>32525.999999999996</v>
      </c>
    </row>
    <row r="5" spans="1:5" x14ac:dyDescent="0.2">
      <c r="C5" s="9" t="s">
        <v>4</v>
      </c>
      <c r="D5" s="1">
        <v>152</v>
      </c>
      <c r="E5" s="9" t="s">
        <v>7</v>
      </c>
    </row>
    <row r="6" spans="1:5" x14ac:dyDescent="0.2">
      <c r="C6" s="9" t="s">
        <v>5</v>
      </c>
      <c r="D6" s="1">
        <f>10681+1804</f>
        <v>12485</v>
      </c>
      <c r="E6" s="9" t="s">
        <v>7</v>
      </c>
    </row>
    <row r="7" spans="1:5" x14ac:dyDescent="0.2">
      <c r="C7" s="9" t="s">
        <v>6</v>
      </c>
      <c r="D7" s="1">
        <f>D4+D6-D5</f>
        <v>44859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4CD5-28D3-4678-9B11-62DAAC84DFFC}">
  <dimension ref="A1:DO31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Y18" sqref="Y18"/>
    </sheetView>
  </sheetViews>
  <sheetFormatPr defaultRowHeight="14.25" x14ac:dyDescent="0.2"/>
  <cols>
    <col min="1" max="1" width="25.5703125" style="1" customWidth="1"/>
    <col min="2" max="18" width="9.140625" style="1"/>
    <col min="19" max="19" width="11.5703125" style="1" bestFit="1" customWidth="1"/>
    <col min="20" max="20" width="9.28515625" style="1" customWidth="1"/>
    <col min="21" max="16384" width="9.140625" style="1"/>
  </cols>
  <sheetData>
    <row r="1" spans="1:117" x14ac:dyDescent="0.2">
      <c r="B1" s="1" t="s">
        <v>8</v>
      </c>
      <c r="C1" s="1" t="s">
        <v>9</v>
      </c>
      <c r="D1" s="1" t="s">
        <v>7</v>
      </c>
      <c r="E1" s="1" t="s">
        <v>10</v>
      </c>
      <c r="F1" s="1" t="s">
        <v>11</v>
      </c>
      <c r="H1" s="2">
        <v>2020</v>
      </c>
      <c r="I1" s="2">
        <f>H1+1</f>
        <v>2021</v>
      </c>
      <c r="J1" s="2">
        <f t="shared" ref="J1:V1" si="0">I1+1</f>
        <v>2022</v>
      </c>
      <c r="K1" s="2">
        <f t="shared" si="0"/>
        <v>2023</v>
      </c>
      <c r="L1" s="2">
        <f t="shared" si="0"/>
        <v>2024</v>
      </c>
      <c r="M1" s="2">
        <f t="shared" si="0"/>
        <v>2025</v>
      </c>
      <c r="N1" s="2">
        <f t="shared" si="0"/>
        <v>2026</v>
      </c>
      <c r="O1" s="2">
        <f t="shared" si="0"/>
        <v>2027</v>
      </c>
      <c r="P1" s="2">
        <f t="shared" si="0"/>
        <v>2028</v>
      </c>
      <c r="Q1" s="2">
        <f t="shared" si="0"/>
        <v>2029</v>
      </c>
      <c r="R1" s="2">
        <f t="shared" si="0"/>
        <v>2030</v>
      </c>
      <c r="S1" s="2">
        <f t="shared" si="0"/>
        <v>2031</v>
      </c>
      <c r="T1" s="2">
        <f t="shared" si="0"/>
        <v>2032</v>
      </c>
      <c r="U1" s="2">
        <f t="shared" si="0"/>
        <v>2033</v>
      </c>
      <c r="V1" s="2">
        <f t="shared" si="0"/>
        <v>2034</v>
      </c>
      <c r="W1" s="2"/>
    </row>
    <row r="2" spans="1:117" x14ac:dyDescent="0.2">
      <c r="A2" s="1" t="s">
        <v>12</v>
      </c>
      <c r="J2" s="1">
        <v>9529</v>
      </c>
      <c r="K2" s="1">
        <v>10177</v>
      </c>
      <c r="L2" s="1">
        <v>10711</v>
      </c>
    </row>
    <row r="3" spans="1:117" x14ac:dyDescent="0.2">
      <c r="A3" s="1" t="s">
        <v>13</v>
      </c>
      <c r="J3" s="1">
        <v>708</v>
      </c>
      <c r="K3" s="1">
        <v>724</v>
      </c>
      <c r="L3" s="1">
        <v>749</v>
      </c>
    </row>
    <row r="4" spans="1:117" s="3" customFormat="1" ht="15" x14ac:dyDescent="0.25">
      <c r="A4" s="3" t="s">
        <v>14</v>
      </c>
      <c r="B4" s="3">
        <f>B2-B3</f>
        <v>0</v>
      </c>
      <c r="C4" s="3">
        <f t="shared" ref="C4:F4" si="1">C2-C3</f>
        <v>0</v>
      </c>
      <c r="D4" s="3">
        <f t="shared" si="1"/>
        <v>0</v>
      </c>
      <c r="E4" s="3">
        <f t="shared" si="1"/>
        <v>0</v>
      </c>
      <c r="F4" s="3">
        <f t="shared" si="1"/>
        <v>0</v>
      </c>
      <c r="H4" s="3">
        <f>H2-H3</f>
        <v>0</v>
      </c>
      <c r="I4" s="3">
        <f>I2-I3</f>
        <v>0</v>
      </c>
      <c r="J4" s="3">
        <f>J2-J3</f>
        <v>8821</v>
      </c>
      <c r="K4" s="3">
        <f t="shared" ref="K4:L4" si="2">K2-K3</f>
        <v>9453</v>
      </c>
      <c r="L4" s="3">
        <f t="shared" si="2"/>
        <v>9962</v>
      </c>
      <c r="M4" s="3">
        <f t="shared" ref="M4:V4" si="3">L4*1.03</f>
        <v>10260.86</v>
      </c>
      <c r="N4" s="3">
        <f t="shared" si="3"/>
        <v>10568.685800000001</v>
      </c>
      <c r="O4" s="3">
        <f t="shared" si="3"/>
        <v>10885.746374000002</v>
      </c>
      <c r="P4" s="3">
        <f t="shared" si="3"/>
        <v>11212.318765220003</v>
      </c>
      <c r="Q4" s="3">
        <f t="shared" si="3"/>
        <v>11548.688328176604</v>
      </c>
      <c r="R4" s="3">
        <f t="shared" si="3"/>
        <v>11895.148978021902</v>
      </c>
      <c r="S4" s="3">
        <f t="shared" si="3"/>
        <v>12252.003447362558</v>
      </c>
      <c r="T4" s="3">
        <f t="shared" si="3"/>
        <v>12619.563550783436</v>
      </c>
      <c r="U4" s="3">
        <f t="shared" si="3"/>
        <v>12998.15045730694</v>
      </c>
      <c r="V4" s="3">
        <f t="shared" si="3"/>
        <v>13388.094971026148</v>
      </c>
    </row>
    <row r="5" spans="1:117" x14ac:dyDescent="0.2">
      <c r="A5" s="1" t="s">
        <v>15</v>
      </c>
      <c r="J5" s="1">
        <v>4113</v>
      </c>
      <c r="K5" s="1">
        <v>4683</v>
      </c>
      <c r="L5" s="1">
        <v>4944</v>
      </c>
      <c r="M5" s="1">
        <f>M4*(1-M21)</f>
        <v>4925.2128000000002</v>
      </c>
      <c r="N5" s="1">
        <f t="shared" ref="N5:Q5" si="4">N4*(1-N21)</f>
        <v>5072.9691840000005</v>
      </c>
      <c r="O5" s="1">
        <f t="shared" si="4"/>
        <v>5225.1582595200007</v>
      </c>
      <c r="P5" s="1">
        <f t="shared" si="4"/>
        <v>5381.9130073056012</v>
      </c>
      <c r="Q5" s="1">
        <f t="shared" si="4"/>
        <v>5543.3703975247699</v>
      </c>
      <c r="R5" s="1">
        <f t="shared" ref="R5" si="5">R4*(1-R21)</f>
        <v>5709.6715094505125</v>
      </c>
      <c r="S5" s="1">
        <f t="shared" ref="S5" si="6">S4*(1-S21)</f>
        <v>5880.9616547340274</v>
      </c>
      <c r="T5" s="1">
        <f t="shared" ref="T5" si="7">T4*(1-T21)</f>
        <v>6057.3905043760487</v>
      </c>
      <c r="U5" s="1">
        <f t="shared" ref="U5" si="8">U4*(1-U21)</f>
        <v>6239.1122195073312</v>
      </c>
      <c r="V5" s="1">
        <f t="shared" ref="V5" si="9">V4*(1-V21)</f>
        <v>6426.2855860925511</v>
      </c>
    </row>
    <row r="6" spans="1:117" x14ac:dyDescent="0.2">
      <c r="A6" s="1" t="s">
        <v>16</v>
      </c>
      <c r="B6" s="1">
        <f>B4-B5</f>
        <v>0</v>
      </c>
      <c r="C6" s="1">
        <f t="shared" ref="C6:H6" si="10">C4-C5</f>
        <v>0</v>
      </c>
      <c r="D6" s="1">
        <f t="shared" si="10"/>
        <v>0</v>
      </c>
      <c r="E6" s="1">
        <f t="shared" si="10"/>
        <v>0</v>
      </c>
      <c r="F6" s="1">
        <f t="shared" si="10"/>
        <v>0</v>
      </c>
      <c r="H6" s="1">
        <f t="shared" si="10"/>
        <v>0</v>
      </c>
      <c r="I6" s="1">
        <f t="shared" ref="I6" si="11">I4-I5</f>
        <v>0</v>
      </c>
      <c r="J6" s="1">
        <f t="shared" ref="J6" si="12">J4-J5</f>
        <v>4708</v>
      </c>
      <c r="K6" s="1">
        <f t="shared" ref="K6" si="13">K4-K5</f>
        <v>4770</v>
      </c>
      <c r="L6" s="1">
        <f t="shared" ref="L6" si="14">L4-L5</f>
        <v>5018</v>
      </c>
      <c r="M6" s="1">
        <f t="shared" ref="M6" si="15">M4-M5</f>
        <v>5335.6472000000003</v>
      </c>
      <c r="N6" s="1">
        <f t="shared" ref="N6" si="16">N4-N5</f>
        <v>5495.7166160000006</v>
      </c>
      <c r="O6" s="1">
        <f t="shared" ref="O6" si="17">O4-O5</f>
        <v>5660.5881144800014</v>
      </c>
      <c r="P6" s="1">
        <f t="shared" ref="P6" si="18">P4-P5</f>
        <v>5830.4057579144019</v>
      </c>
      <c r="Q6" s="1">
        <f t="shared" ref="Q6" si="19">Q4-Q5</f>
        <v>6005.3179306518341</v>
      </c>
      <c r="R6" s="1">
        <f t="shared" ref="R6" si="20">R4-R5</f>
        <v>6185.4774685713892</v>
      </c>
      <c r="S6" s="1">
        <f t="shared" ref="S6" si="21">S4-S5</f>
        <v>6371.0417926285309</v>
      </c>
      <c r="T6" s="1">
        <f t="shared" ref="T6" si="22">T4-T5</f>
        <v>6562.1730464073871</v>
      </c>
      <c r="U6" s="1">
        <f t="shared" ref="U6" si="23">U4-U5</f>
        <v>6759.0382377996084</v>
      </c>
      <c r="V6" s="1">
        <f t="shared" ref="V6" si="24">V4-V5</f>
        <v>6961.8093849335974</v>
      </c>
    </row>
    <row r="7" spans="1:117" x14ac:dyDescent="0.2">
      <c r="A7" s="1" t="s">
        <v>17</v>
      </c>
      <c r="J7" s="1">
        <v>1709</v>
      </c>
      <c r="K7" s="1">
        <v>1926</v>
      </c>
      <c r="L7" s="1">
        <v>1847</v>
      </c>
      <c r="M7" s="1">
        <f>L7*(1+M17)</f>
        <v>1902.41</v>
      </c>
      <c r="N7" s="1">
        <f t="shared" ref="N7:Q7" si="25">M7*(1+N17)</f>
        <v>1959.4823000000001</v>
      </c>
      <c r="O7" s="1">
        <f t="shared" si="25"/>
        <v>2018.2667690000001</v>
      </c>
      <c r="P7" s="1">
        <f t="shared" si="25"/>
        <v>2078.8147720700003</v>
      </c>
      <c r="Q7" s="1">
        <f t="shared" si="25"/>
        <v>2141.1792152321004</v>
      </c>
      <c r="R7" s="1">
        <f t="shared" ref="R7:V7" si="26">Q7*(1+R17)</f>
        <v>2205.4145916890634</v>
      </c>
      <c r="S7" s="1">
        <f t="shared" si="26"/>
        <v>2271.5770294397353</v>
      </c>
      <c r="T7" s="1">
        <f t="shared" si="26"/>
        <v>2339.7243403229272</v>
      </c>
      <c r="U7" s="1">
        <f t="shared" si="26"/>
        <v>2409.9160705326153</v>
      </c>
      <c r="V7" s="1">
        <f t="shared" si="26"/>
        <v>2482.213552648594</v>
      </c>
    </row>
    <row r="8" spans="1:117" x14ac:dyDescent="0.2">
      <c r="A8" s="1" t="s">
        <v>18</v>
      </c>
      <c r="B8" s="1">
        <f>B6-B7</f>
        <v>0</v>
      </c>
      <c r="C8" s="1">
        <f t="shared" ref="C8:H8" si="27">C6-C7</f>
        <v>0</v>
      </c>
      <c r="D8" s="1">
        <f t="shared" si="27"/>
        <v>0</v>
      </c>
      <c r="E8" s="1">
        <f t="shared" si="27"/>
        <v>0</v>
      </c>
      <c r="F8" s="1">
        <f t="shared" si="27"/>
        <v>0</v>
      </c>
      <c r="H8" s="1">
        <f t="shared" si="27"/>
        <v>0</v>
      </c>
      <c r="I8" s="1">
        <f t="shared" ref="I8" si="28">I6-I7</f>
        <v>0</v>
      </c>
      <c r="J8" s="1">
        <f t="shared" ref="J8" si="29">J6-J7</f>
        <v>2999</v>
      </c>
      <c r="K8" s="1">
        <f t="shared" ref="K8" si="30">K6-K7</f>
        <v>2844</v>
      </c>
      <c r="L8" s="1">
        <f t="shared" ref="L8" si="31">L6-L7</f>
        <v>3171</v>
      </c>
      <c r="M8" s="1">
        <f t="shared" ref="M8" si="32">M6-M7</f>
        <v>3433.2372000000005</v>
      </c>
      <c r="N8" s="1">
        <f t="shared" ref="N8" si="33">N6-N7</f>
        <v>3536.2343160000005</v>
      </c>
      <c r="O8" s="1">
        <f t="shared" ref="O8" si="34">O6-O7</f>
        <v>3642.3213454800016</v>
      </c>
      <c r="P8" s="1">
        <f t="shared" ref="P8" si="35">P6-P7</f>
        <v>3751.5909858444015</v>
      </c>
      <c r="Q8" s="1">
        <f t="shared" ref="Q8" si="36">Q6-Q7</f>
        <v>3864.1387154197337</v>
      </c>
      <c r="R8" s="1">
        <f t="shared" ref="R8" si="37">R6-R7</f>
        <v>3980.0628768823258</v>
      </c>
      <c r="S8" s="1">
        <f t="shared" ref="S8" si="38">S6-S7</f>
        <v>4099.4647631887956</v>
      </c>
      <c r="T8" s="1">
        <f t="shared" ref="T8" si="39">T6-T7</f>
        <v>4222.4487060844604</v>
      </c>
      <c r="U8" s="1">
        <f t="shared" ref="U8" si="40">U6-U7</f>
        <v>4349.1221672669926</v>
      </c>
      <c r="V8" s="1">
        <f t="shared" ref="V8" si="41">V6-V7</f>
        <v>4479.5958322850038</v>
      </c>
    </row>
    <row r="9" spans="1:117" x14ac:dyDescent="0.2">
      <c r="A9" s="1" t="s">
        <v>20</v>
      </c>
      <c r="J9" s="1">
        <v>-1635</v>
      </c>
      <c r="K9" s="1">
        <v>-2036</v>
      </c>
      <c r="L9" s="1">
        <v>-511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117" x14ac:dyDescent="0.2">
      <c r="A10" s="1" t="s">
        <v>19</v>
      </c>
      <c r="J10" s="1">
        <v>-356</v>
      </c>
      <c r="K10" s="1">
        <v>-398</v>
      </c>
      <c r="L10" s="1">
        <v>-435</v>
      </c>
      <c r="M10" s="1">
        <f>L27*$Y$18</f>
        <v>-493.32</v>
      </c>
      <c r="N10" s="1">
        <f>M27*$Y$18</f>
        <v>-405.12248399999999</v>
      </c>
      <c r="O10" s="1">
        <f>N27*$Y$18</f>
        <v>-311.18912903999995</v>
      </c>
      <c r="P10" s="1">
        <f>O27*$Y$18</f>
        <v>-211.25516254679991</v>
      </c>
      <c r="Q10" s="1">
        <f>P27*$Y$18</f>
        <v>-105.04508784787187</v>
      </c>
      <c r="R10" s="1">
        <f t="shared" ref="R10:V10" si="42">Q27*$Y$18</f>
        <v>7.727720979283986</v>
      </c>
      <c r="S10" s="1">
        <f t="shared" si="42"/>
        <v>127.36143891513228</v>
      </c>
      <c r="T10" s="1">
        <f t="shared" si="42"/>
        <v>254.16622497825011</v>
      </c>
      <c r="U10" s="1">
        <f t="shared" si="42"/>
        <v>388.46467291013141</v>
      </c>
      <c r="V10" s="1">
        <f t="shared" si="42"/>
        <v>530.5922781154452</v>
      </c>
    </row>
    <row r="11" spans="1:117" x14ac:dyDescent="0.2">
      <c r="A11" s="1" t="s">
        <v>21</v>
      </c>
      <c r="B11" s="1">
        <f>B8+SUM(B9:B10)</f>
        <v>0</v>
      </c>
      <c r="C11" s="1">
        <f t="shared" ref="C11:H11" si="43">C8+SUM(C9:C10)</f>
        <v>0</v>
      </c>
      <c r="D11" s="1">
        <f t="shared" si="43"/>
        <v>0</v>
      </c>
      <c r="E11" s="1">
        <f t="shared" si="43"/>
        <v>0</v>
      </c>
      <c r="F11" s="1">
        <f t="shared" si="43"/>
        <v>0</v>
      </c>
      <c r="H11" s="1">
        <f t="shared" si="43"/>
        <v>0</v>
      </c>
      <c r="I11" s="1">
        <f t="shared" ref="I11" si="44">I8+SUM(I9:I10)</f>
        <v>0</v>
      </c>
      <c r="J11" s="1">
        <f t="shared" ref="J11" si="45">J8+SUM(J9:J10)</f>
        <v>1008</v>
      </c>
      <c r="K11" s="1">
        <f t="shared" ref="K11" si="46">K8+SUM(K9:K10)</f>
        <v>410</v>
      </c>
      <c r="L11" s="1">
        <f t="shared" ref="L11" si="47">L8+SUM(L9:L10)</f>
        <v>2225</v>
      </c>
      <c r="M11" s="1">
        <f t="shared" ref="M11" si="48">M8+SUM(M9:M10)</f>
        <v>2939.9172000000003</v>
      </c>
      <c r="N11" s="1">
        <f t="shared" ref="N11" si="49">N8+SUM(N9:N10)</f>
        <v>3131.1118320000005</v>
      </c>
      <c r="O11" s="1">
        <f t="shared" ref="O11" si="50">O8+SUM(O9:O10)</f>
        <v>3331.1322164400017</v>
      </c>
      <c r="P11" s="1">
        <f t="shared" ref="P11" si="51">P8+SUM(P9:P10)</f>
        <v>3540.3358232976016</v>
      </c>
      <c r="Q11" s="1">
        <f t="shared" ref="Q11" si="52">Q8+SUM(Q9:Q10)</f>
        <v>3759.0936275718618</v>
      </c>
      <c r="R11" s="1">
        <f t="shared" ref="R11" si="53">R8+SUM(R9:R10)</f>
        <v>3987.79059786161</v>
      </c>
      <c r="S11" s="1">
        <f t="shared" ref="S11" si="54">S8+SUM(S9:S10)</f>
        <v>4226.8262021039282</v>
      </c>
      <c r="T11" s="1">
        <f t="shared" ref="T11" si="55">T8+SUM(T9:T10)</f>
        <v>4476.6149310627106</v>
      </c>
      <c r="U11" s="1">
        <f t="shared" ref="U11" si="56">U8+SUM(U9:U10)</f>
        <v>4737.586840177124</v>
      </c>
      <c r="V11" s="1">
        <f t="shared" ref="V11" si="57">V8+SUM(V9:V10)</f>
        <v>5010.1881104004487</v>
      </c>
    </row>
    <row r="12" spans="1:117" x14ac:dyDescent="0.2">
      <c r="A12" s="1" t="s">
        <v>22</v>
      </c>
      <c r="J12" s="1">
        <v>309</v>
      </c>
      <c r="K12" s="1">
        <v>422</v>
      </c>
      <c r="L12" s="1">
        <v>456</v>
      </c>
      <c r="M12" s="1">
        <f>M18*M11</f>
        <v>734.97930000000008</v>
      </c>
      <c r="N12" s="1">
        <f t="shared" ref="N12:Q12" si="58">N18*N11</f>
        <v>782.77795800000013</v>
      </c>
      <c r="O12" s="1">
        <f t="shared" si="58"/>
        <v>832.78305411000042</v>
      </c>
      <c r="P12" s="1">
        <f t="shared" si="58"/>
        <v>885.08395582440039</v>
      </c>
      <c r="Q12" s="1">
        <f t="shared" si="58"/>
        <v>939.77340689296545</v>
      </c>
      <c r="R12" s="1">
        <f t="shared" ref="R12" si="59">R18*R11</f>
        <v>996.94764946540249</v>
      </c>
      <c r="S12" s="1">
        <f t="shared" ref="S12" si="60">S18*S11</f>
        <v>1056.706550525982</v>
      </c>
      <c r="T12" s="1">
        <f t="shared" ref="T12" si="61">T18*T11</f>
        <v>1119.1537327656777</v>
      </c>
      <c r="U12" s="1">
        <f t="shared" ref="U12" si="62">U18*U11</f>
        <v>1184.396710044281</v>
      </c>
      <c r="V12" s="1">
        <f t="shared" ref="V12" si="63">V18*V11</f>
        <v>1252.5470276001122</v>
      </c>
    </row>
    <row r="13" spans="1:117" s="3" customFormat="1" ht="15" x14ac:dyDescent="0.25">
      <c r="A13" s="3" t="s">
        <v>23</v>
      </c>
      <c r="B13" s="3">
        <f>B11-B12</f>
        <v>0</v>
      </c>
      <c r="C13" s="3">
        <f t="shared" ref="C13:H13" si="64">C11-C12</f>
        <v>0</v>
      </c>
      <c r="D13" s="3">
        <f t="shared" si="64"/>
        <v>0</v>
      </c>
      <c r="E13" s="3">
        <f t="shared" si="64"/>
        <v>0</v>
      </c>
      <c r="F13" s="3">
        <f t="shared" si="64"/>
        <v>0</v>
      </c>
      <c r="H13" s="3">
        <f t="shared" si="64"/>
        <v>0</v>
      </c>
      <c r="I13" s="3">
        <f t="shared" ref="I13" si="65">I11-I12</f>
        <v>0</v>
      </c>
      <c r="J13" s="3">
        <f t="shared" ref="J13" si="66">J11-J12</f>
        <v>699</v>
      </c>
      <c r="K13" s="3">
        <f t="shared" ref="K13" si="67">K11-K12</f>
        <v>-12</v>
      </c>
      <c r="L13" s="3">
        <f t="shared" ref="L13" si="68">L11-L12</f>
        <v>1769</v>
      </c>
      <c r="M13" s="3">
        <f t="shared" ref="M13" si="69">M11-M12</f>
        <v>2204.9379000000004</v>
      </c>
      <c r="N13" s="3">
        <f t="shared" ref="N13" si="70">N11-N12</f>
        <v>2348.3338740000004</v>
      </c>
      <c r="O13" s="3">
        <f t="shared" ref="O13" si="71">O11-O12</f>
        <v>2498.3491623300015</v>
      </c>
      <c r="P13" s="3">
        <f t="shared" ref="P13" si="72">P11-P12</f>
        <v>2655.2518674732009</v>
      </c>
      <c r="Q13" s="3">
        <f t="shared" ref="Q13" si="73">Q11-Q12</f>
        <v>2819.3202206788965</v>
      </c>
      <c r="R13" s="3">
        <f t="shared" ref="R13" si="74">R11-R12</f>
        <v>2990.8429483962072</v>
      </c>
      <c r="S13" s="3">
        <f t="shared" ref="S13" si="75">S11-S12</f>
        <v>3170.1196515779461</v>
      </c>
      <c r="T13" s="3">
        <f t="shared" ref="T13" si="76">T11-T12</f>
        <v>3357.4611982970328</v>
      </c>
      <c r="U13" s="3">
        <f t="shared" ref="U13" si="77">U11-U12</f>
        <v>3553.190130132843</v>
      </c>
      <c r="V13" s="3">
        <f t="shared" ref="V13" si="78">V11-V12</f>
        <v>3757.6410828003363</v>
      </c>
      <c r="W13" s="3">
        <f t="shared" ref="W13:BB13" si="79">V13*(1+$Y$19)</f>
        <v>3795.2174936283395</v>
      </c>
      <c r="X13" s="3">
        <f t="shared" si="79"/>
        <v>3833.169668564623</v>
      </c>
      <c r="Y13" s="3">
        <f t="shared" si="79"/>
        <v>3871.5013652502694</v>
      </c>
      <c r="Z13" s="3">
        <f t="shared" si="79"/>
        <v>3910.2163789027722</v>
      </c>
      <c r="AA13" s="3">
        <f t="shared" si="79"/>
        <v>3949.3185426917998</v>
      </c>
      <c r="AB13" s="3">
        <f t="shared" si="79"/>
        <v>3988.8117281187178</v>
      </c>
      <c r="AC13" s="3">
        <f t="shared" si="79"/>
        <v>4028.6998453999049</v>
      </c>
      <c r="AD13" s="3">
        <f t="shared" si="79"/>
        <v>4068.9868438539038</v>
      </c>
      <c r="AE13" s="3">
        <f t="shared" si="79"/>
        <v>4109.676712292443</v>
      </c>
      <c r="AF13" s="3">
        <f t="shared" si="79"/>
        <v>4150.7734794153675</v>
      </c>
      <c r="AG13" s="3">
        <f t="shared" si="79"/>
        <v>4192.2812142095208</v>
      </c>
      <c r="AH13" s="3">
        <f t="shared" si="79"/>
        <v>4234.2040263516164</v>
      </c>
      <c r="AI13" s="3">
        <f t="shared" si="79"/>
        <v>4276.546066615133</v>
      </c>
      <c r="AJ13" s="3">
        <f t="shared" si="79"/>
        <v>4319.3115272812847</v>
      </c>
      <c r="AK13" s="3">
        <f t="shared" si="79"/>
        <v>4362.5046425540977</v>
      </c>
      <c r="AL13" s="3">
        <f t="shared" si="79"/>
        <v>4406.1296889796386</v>
      </c>
      <c r="AM13" s="3">
        <f t="shared" si="79"/>
        <v>4450.1909858694353</v>
      </c>
      <c r="AN13" s="3">
        <f t="shared" si="79"/>
        <v>4494.6928957281298</v>
      </c>
      <c r="AO13" s="3">
        <f t="shared" si="79"/>
        <v>4539.6398246854114</v>
      </c>
      <c r="AP13" s="3">
        <f t="shared" si="79"/>
        <v>4585.0362229322654</v>
      </c>
      <c r="AQ13" s="3">
        <f t="shared" si="79"/>
        <v>4630.8865851615883</v>
      </c>
      <c r="AR13" s="3">
        <f t="shared" si="79"/>
        <v>4677.1954510132045</v>
      </c>
      <c r="AS13" s="3">
        <f t="shared" si="79"/>
        <v>4723.9674055233363</v>
      </c>
      <c r="AT13" s="3">
        <f t="shared" si="79"/>
        <v>4771.2070795785694</v>
      </c>
      <c r="AU13" s="3">
        <f t="shared" si="79"/>
        <v>4818.919150374355</v>
      </c>
      <c r="AV13" s="3">
        <f t="shared" si="79"/>
        <v>4867.1083418780991</v>
      </c>
      <c r="AW13" s="3">
        <f t="shared" si="79"/>
        <v>4915.7794252968797</v>
      </c>
      <c r="AX13" s="3">
        <f t="shared" si="79"/>
        <v>4964.9372195498481</v>
      </c>
      <c r="AY13" s="3">
        <f t="shared" si="79"/>
        <v>5014.5865917453466</v>
      </c>
      <c r="AZ13" s="3">
        <f t="shared" si="79"/>
        <v>5064.7324576627998</v>
      </c>
      <c r="BA13" s="3">
        <f t="shared" si="79"/>
        <v>5115.3797822394281</v>
      </c>
      <c r="BB13" s="3">
        <f t="shared" si="79"/>
        <v>5166.5335800618222</v>
      </c>
      <c r="BC13" s="3">
        <f t="shared" ref="BC13:CH13" si="80">BB13*(1+$Y$19)</f>
        <v>5218.1989158624401</v>
      </c>
      <c r="BD13" s="3">
        <f t="shared" si="80"/>
        <v>5270.3809050210648</v>
      </c>
      <c r="BE13" s="3">
        <f t="shared" si="80"/>
        <v>5323.0847140712758</v>
      </c>
      <c r="BF13" s="3">
        <f t="shared" si="80"/>
        <v>5376.315561211989</v>
      </c>
      <c r="BG13" s="3">
        <f t="shared" si="80"/>
        <v>5430.0787168241086</v>
      </c>
      <c r="BH13" s="3">
        <f t="shared" si="80"/>
        <v>5484.3795039923498</v>
      </c>
      <c r="BI13" s="3">
        <f t="shared" si="80"/>
        <v>5539.2232990322736</v>
      </c>
      <c r="BJ13" s="3">
        <f t="shared" si="80"/>
        <v>5594.6155320225962</v>
      </c>
      <c r="BK13" s="3">
        <f t="shared" si="80"/>
        <v>5650.5616873428226</v>
      </c>
      <c r="BL13" s="3">
        <f t="shared" si="80"/>
        <v>5707.0673042162507</v>
      </c>
      <c r="BM13" s="3">
        <f t="shared" si="80"/>
        <v>5764.1379772584132</v>
      </c>
      <c r="BN13" s="3">
        <f t="shared" si="80"/>
        <v>5821.7793570309977</v>
      </c>
      <c r="BO13" s="3">
        <f t="shared" si="80"/>
        <v>5879.997150601308</v>
      </c>
      <c r="BP13" s="3">
        <f t="shared" si="80"/>
        <v>5938.7971221073212</v>
      </c>
      <c r="BQ13" s="3">
        <f t="shared" si="80"/>
        <v>5998.1850933283949</v>
      </c>
      <c r="BR13" s="3">
        <f t="shared" si="80"/>
        <v>6058.1669442616785</v>
      </c>
      <c r="BS13" s="3">
        <f t="shared" si="80"/>
        <v>6118.7486137042952</v>
      </c>
      <c r="BT13" s="3">
        <f t="shared" si="80"/>
        <v>6179.9360998413385</v>
      </c>
      <c r="BU13" s="3">
        <f t="shared" si="80"/>
        <v>6241.7354608397518</v>
      </c>
      <c r="BV13" s="3">
        <f t="shared" si="80"/>
        <v>6304.1528154481493</v>
      </c>
      <c r="BW13" s="3">
        <f t="shared" si="80"/>
        <v>6367.1943436026313</v>
      </c>
      <c r="BX13" s="3">
        <f t="shared" si="80"/>
        <v>6430.8662870386579</v>
      </c>
      <c r="BY13" s="3">
        <f t="shared" si="80"/>
        <v>6495.1749499090447</v>
      </c>
      <c r="BZ13" s="3">
        <f t="shared" si="80"/>
        <v>6560.1266994081352</v>
      </c>
      <c r="CA13" s="3">
        <f t="shared" si="80"/>
        <v>6625.7279664022162</v>
      </c>
      <c r="CB13" s="3">
        <f t="shared" si="80"/>
        <v>6691.9852460662387</v>
      </c>
      <c r="CC13" s="3">
        <f t="shared" si="80"/>
        <v>6758.9050985269014</v>
      </c>
      <c r="CD13" s="3">
        <f t="shared" si="80"/>
        <v>6826.4941495121702</v>
      </c>
      <c r="CE13" s="3">
        <f t="shared" si="80"/>
        <v>6894.7590910072922</v>
      </c>
      <c r="CF13" s="3">
        <f t="shared" si="80"/>
        <v>6963.7066819173651</v>
      </c>
      <c r="CG13" s="3">
        <f t="shared" si="80"/>
        <v>7033.3437487365391</v>
      </c>
      <c r="CH13" s="3">
        <f t="shared" si="80"/>
        <v>7103.6771862239048</v>
      </c>
      <c r="CI13" s="3">
        <f t="shared" ref="CI13:DM13" si="81">CH13*(1+$Y$19)</f>
        <v>7174.713958086144</v>
      </c>
      <c r="CJ13" s="3">
        <f t="shared" si="81"/>
        <v>7246.4610976670056</v>
      </c>
      <c r="CK13" s="3">
        <f t="shared" si="81"/>
        <v>7318.9257086436755</v>
      </c>
      <c r="CL13" s="3">
        <f t="shared" si="81"/>
        <v>7392.1149657301121</v>
      </c>
      <c r="CM13" s="3">
        <f t="shared" si="81"/>
        <v>7466.0361153874137</v>
      </c>
      <c r="CN13" s="3">
        <f t="shared" si="81"/>
        <v>7540.6964765412877</v>
      </c>
      <c r="CO13" s="3">
        <f t="shared" si="81"/>
        <v>7616.1034413067009</v>
      </c>
      <c r="CP13" s="3">
        <f t="shared" si="81"/>
        <v>7692.2644757197677</v>
      </c>
      <c r="CQ13" s="3">
        <f t="shared" si="81"/>
        <v>7769.187120476965</v>
      </c>
      <c r="CR13" s="3">
        <f t="shared" si="81"/>
        <v>7846.878991681735</v>
      </c>
      <c r="CS13" s="3">
        <f t="shared" si="81"/>
        <v>7925.3477815985525</v>
      </c>
      <c r="CT13" s="3">
        <f t="shared" si="81"/>
        <v>8004.6012594145377</v>
      </c>
      <c r="CU13" s="3">
        <f t="shared" si="81"/>
        <v>8084.6472720086831</v>
      </c>
      <c r="CV13" s="3">
        <f t="shared" si="81"/>
        <v>8165.4937447287703</v>
      </c>
      <c r="CW13" s="3">
        <f t="shared" si="81"/>
        <v>8247.1486821760573</v>
      </c>
      <c r="CX13" s="3">
        <f t="shared" si="81"/>
        <v>8329.620168997817</v>
      </c>
      <c r="CY13" s="3">
        <f t="shared" si="81"/>
        <v>8412.9163706877953</v>
      </c>
      <c r="CZ13" s="3">
        <f t="shared" si="81"/>
        <v>8497.0455343946742</v>
      </c>
      <c r="DA13" s="3">
        <f t="shared" si="81"/>
        <v>8582.0159897386202</v>
      </c>
      <c r="DB13" s="3">
        <f t="shared" si="81"/>
        <v>8667.8361496360067</v>
      </c>
      <c r="DC13" s="3">
        <f t="shared" si="81"/>
        <v>8754.5145111323673</v>
      </c>
      <c r="DD13" s="3">
        <f t="shared" si="81"/>
        <v>8842.0596562436913</v>
      </c>
      <c r="DE13" s="3">
        <f t="shared" si="81"/>
        <v>8930.4802528061282</v>
      </c>
      <c r="DF13" s="3">
        <f t="shared" si="81"/>
        <v>9019.7850553341887</v>
      </c>
      <c r="DG13" s="3">
        <f t="shared" si="81"/>
        <v>9109.9829058875312</v>
      </c>
      <c r="DH13" s="3">
        <f t="shared" si="81"/>
        <v>9201.0827349464071</v>
      </c>
      <c r="DI13" s="3">
        <f t="shared" si="81"/>
        <v>9293.0935622958714</v>
      </c>
      <c r="DJ13" s="3">
        <f t="shared" si="81"/>
        <v>9386.0244979188301</v>
      </c>
      <c r="DK13" s="3">
        <f t="shared" si="81"/>
        <v>9479.8847428980189</v>
      </c>
      <c r="DL13" s="3">
        <f t="shared" si="81"/>
        <v>9574.6835903269985</v>
      </c>
      <c r="DM13" s="3">
        <f t="shared" si="81"/>
        <v>9670.4304262302685</v>
      </c>
    </row>
    <row r="14" spans="1:117" s="3" customFormat="1" ht="15" x14ac:dyDescent="0.25">
      <c r="A14" s="1" t="s">
        <v>2</v>
      </c>
    </row>
    <row r="15" spans="1:117" s="3" customFormat="1" ht="15" x14ac:dyDescent="0.25">
      <c r="A15" s="1" t="s">
        <v>37</v>
      </c>
    </row>
    <row r="17" spans="1:119" x14ac:dyDescent="0.2">
      <c r="A17" s="1" t="s">
        <v>24</v>
      </c>
      <c r="K17" s="4">
        <f t="shared" ref="K17:P17" si="82">K4/J4-1</f>
        <v>7.1647205532252567E-2</v>
      </c>
      <c r="L17" s="4">
        <f t="shared" si="82"/>
        <v>5.3845340103670702E-2</v>
      </c>
      <c r="M17" s="4">
        <f t="shared" si="82"/>
        <v>3.0000000000000027E-2</v>
      </c>
      <c r="N17" s="4">
        <f t="shared" si="82"/>
        <v>3.0000000000000027E-2</v>
      </c>
      <c r="O17" s="4">
        <f t="shared" si="82"/>
        <v>3.0000000000000027E-2</v>
      </c>
      <c r="P17" s="4">
        <f t="shared" si="82"/>
        <v>3.0000000000000027E-2</v>
      </c>
      <c r="Q17" s="4">
        <f t="shared" ref="Q17:V17" si="83">Q4/P4-1</f>
        <v>3.0000000000000027E-2</v>
      </c>
      <c r="R17" s="4">
        <f t="shared" si="83"/>
        <v>3.0000000000000027E-2</v>
      </c>
      <c r="S17" s="4">
        <f t="shared" si="83"/>
        <v>3.0000000000000027E-2</v>
      </c>
      <c r="T17" s="4">
        <f t="shared" si="83"/>
        <v>3.0000000000000027E-2</v>
      </c>
      <c r="U17" s="4">
        <f t="shared" si="83"/>
        <v>3.0000000000000027E-2</v>
      </c>
      <c r="V17" s="4">
        <f t="shared" si="83"/>
        <v>3.0000000000000027E-2</v>
      </c>
    </row>
    <row r="18" spans="1:119" x14ac:dyDescent="0.2">
      <c r="A18" s="1" t="s">
        <v>25</v>
      </c>
      <c r="J18" s="4">
        <f>J12/J11</f>
        <v>0.30654761904761907</v>
      </c>
      <c r="K18" s="4">
        <f t="shared" ref="K18:L18" si="84">K12/K11</f>
        <v>1.0292682926829269</v>
      </c>
      <c r="L18" s="4">
        <f t="shared" si="84"/>
        <v>0.2049438202247191</v>
      </c>
      <c r="M18" s="4">
        <v>0.25</v>
      </c>
      <c r="N18" s="4">
        <v>0.25</v>
      </c>
      <c r="O18" s="4">
        <v>0.25</v>
      </c>
      <c r="P18" s="4">
        <v>0.25</v>
      </c>
      <c r="Q18" s="4">
        <v>0.25</v>
      </c>
      <c r="R18" s="4">
        <v>0.25</v>
      </c>
      <c r="S18" s="4">
        <v>0.25</v>
      </c>
      <c r="T18" s="4">
        <v>0.25</v>
      </c>
      <c r="U18" s="4">
        <v>0.25</v>
      </c>
      <c r="V18" s="4">
        <v>0.25</v>
      </c>
      <c r="X18" s="1" t="s">
        <v>30</v>
      </c>
      <c r="Y18" s="6">
        <v>0.04</v>
      </c>
    </row>
    <row r="19" spans="1:119" x14ac:dyDescent="0.2">
      <c r="A19" s="1" t="s">
        <v>36</v>
      </c>
      <c r="J19" s="4">
        <f>J3/J2</f>
        <v>7.4299506768811002E-2</v>
      </c>
      <c r="K19" s="4">
        <f>K3/K2</f>
        <v>7.1140807703645476E-2</v>
      </c>
      <c r="L19" s="4">
        <f>L3/L2</f>
        <v>6.9928111287461486E-2</v>
      </c>
      <c r="M19" s="4">
        <v>7.0000000000000007E-2</v>
      </c>
      <c r="N19" s="4">
        <v>7.0000000000000007E-2</v>
      </c>
      <c r="O19" s="4">
        <v>7.0000000000000007E-2</v>
      </c>
      <c r="P19" s="4">
        <v>7.0000000000000007E-2</v>
      </c>
      <c r="Q19" s="4">
        <v>7.0000000000000007E-2</v>
      </c>
      <c r="R19" s="4">
        <v>7.0000000000000007E-2</v>
      </c>
      <c r="S19" s="4">
        <v>7.0000000000000007E-2</v>
      </c>
      <c r="T19" s="4">
        <v>7.0000000000000007E-2</v>
      </c>
      <c r="U19" s="4">
        <v>7.0000000000000007E-2</v>
      </c>
      <c r="V19" s="4">
        <v>7.0000000000000007E-2</v>
      </c>
      <c r="X19" s="1" t="s">
        <v>31</v>
      </c>
      <c r="Y19" s="6">
        <v>0.01</v>
      </c>
    </row>
    <row r="20" spans="1:119" x14ac:dyDescent="0.2">
      <c r="L20" s="4"/>
      <c r="X20" s="1" t="s">
        <v>32</v>
      </c>
      <c r="Y20" s="6">
        <v>7.4999999999999997E-2</v>
      </c>
    </row>
    <row r="21" spans="1:119" x14ac:dyDescent="0.2">
      <c r="A21" s="1" t="s">
        <v>26</v>
      </c>
      <c r="J21" s="4">
        <f>J6/J4</f>
        <v>0.53372633488266641</v>
      </c>
      <c r="K21" s="4">
        <f>K6/K4</f>
        <v>0.50460171374166929</v>
      </c>
      <c r="L21" s="4">
        <f>L6/L4</f>
        <v>0.50371411363180085</v>
      </c>
      <c r="M21" s="4">
        <v>0.52</v>
      </c>
      <c r="N21" s="4">
        <v>0.52</v>
      </c>
      <c r="O21" s="4">
        <v>0.52</v>
      </c>
      <c r="P21" s="4">
        <v>0.52</v>
      </c>
      <c r="Q21" s="4">
        <v>0.52</v>
      </c>
      <c r="R21" s="4">
        <v>0.52</v>
      </c>
      <c r="S21" s="4">
        <v>0.52</v>
      </c>
      <c r="T21" s="4">
        <v>0.52</v>
      </c>
      <c r="U21" s="4">
        <v>0.52</v>
      </c>
      <c r="V21" s="4">
        <v>0.52</v>
      </c>
      <c r="X21" s="1" t="s">
        <v>33</v>
      </c>
      <c r="Y21" s="5">
        <f>NPV(Y20,M25:XFD25)+Sheet1!D5-Sheet1!D6</f>
        <v>42541.305792591069</v>
      </c>
    </row>
    <row r="22" spans="1:119" x14ac:dyDescent="0.2">
      <c r="X22" s="1" t="s">
        <v>1</v>
      </c>
      <c r="Y22" s="7">
        <f>Y21/Sheet1!D3</f>
        <v>235.42504589148351</v>
      </c>
    </row>
    <row r="23" spans="1:119" x14ac:dyDescent="0.2">
      <c r="A23" s="1" t="s">
        <v>27</v>
      </c>
      <c r="X23" s="1" t="s">
        <v>34</v>
      </c>
      <c r="Y23" s="4">
        <f>Y22/Sheet1!D2-1</f>
        <v>0.30791692161935291</v>
      </c>
    </row>
    <row r="24" spans="1:119" x14ac:dyDescent="0.2">
      <c r="A24" s="1" t="s">
        <v>28</v>
      </c>
    </row>
    <row r="25" spans="1:119" ht="15" x14ac:dyDescent="0.25">
      <c r="A25" s="1" t="s">
        <v>29</v>
      </c>
      <c r="H25" s="1">
        <f>H23-H24</f>
        <v>0</v>
      </c>
      <c r="I25" s="1">
        <f t="shared" ref="I25:L25" si="85">I23-I24</f>
        <v>0</v>
      </c>
      <c r="J25" s="1">
        <f t="shared" si="85"/>
        <v>0</v>
      </c>
      <c r="K25" s="1">
        <f t="shared" si="85"/>
        <v>0</v>
      </c>
      <c r="L25" s="1">
        <f t="shared" si="85"/>
        <v>0</v>
      </c>
      <c r="M25" s="3">
        <f>M13*1.15</f>
        <v>2535.6785850000001</v>
      </c>
      <c r="N25" s="3">
        <f t="shared" ref="N25:V25" si="86">N13*1.15</f>
        <v>2700.5839551000004</v>
      </c>
      <c r="O25" s="3">
        <f t="shared" si="86"/>
        <v>2873.1015366795014</v>
      </c>
      <c r="P25" s="3">
        <f t="shared" si="86"/>
        <v>3053.5396475941807</v>
      </c>
      <c r="Q25" s="3">
        <f t="shared" si="86"/>
        <v>3242.2182537807307</v>
      </c>
      <c r="R25" s="3">
        <f t="shared" si="86"/>
        <v>3439.4693906556381</v>
      </c>
      <c r="S25" s="3">
        <f t="shared" si="86"/>
        <v>3645.6375993146376</v>
      </c>
      <c r="T25" s="3">
        <f t="shared" si="86"/>
        <v>3861.0803780415872</v>
      </c>
      <c r="U25" s="3">
        <f t="shared" si="86"/>
        <v>4086.1686496527691</v>
      </c>
      <c r="V25" s="3">
        <f t="shared" si="86"/>
        <v>4321.2872452203865</v>
      </c>
      <c r="W25" s="3">
        <f t="shared" ref="W25:AW25" si="87">V25*(1+$Y$19)</f>
        <v>4364.50011767259</v>
      </c>
      <c r="X25" s="3">
        <f t="shared" si="87"/>
        <v>4408.1451188493156</v>
      </c>
      <c r="Y25" s="3">
        <f t="shared" si="87"/>
        <v>4452.2265700378084</v>
      </c>
      <c r="Z25" s="3">
        <f t="shared" si="87"/>
        <v>4496.7488357381862</v>
      </c>
      <c r="AA25" s="3">
        <f t="shared" si="87"/>
        <v>4541.7163240955679</v>
      </c>
      <c r="AB25" s="3">
        <f t="shared" si="87"/>
        <v>4587.133487336524</v>
      </c>
      <c r="AC25" s="3">
        <f t="shared" si="87"/>
        <v>4633.0048222098894</v>
      </c>
      <c r="AD25" s="3">
        <f t="shared" si="87"/>
        <v>4679.3348704319887</v>
      </c>
      <c r="AE25" s="3">
        <f t="shared" si="87"/>
        <v>4726.1282191363089</v>
      </c>
      <c r="AF25" s="3">
        <f t="shared" si="87"/>
        <v>4773.3895013276724</v>
      </c>
      <c r="AG25" s="3">
        <f t="shared" si="87"/>
        <v>4821.1233963409495</v>
      </c>
      <c r="AH25" s="3">
        <f t="shared" si="87"/>
        <v>4869.3346303043591</v>
      </c>
      <c r="AI25" s="3">
        <f t="shared" si="87"/>
        <v>4918.0279766074027</v>
      </c>
      <c r="AJ25" s="3">
        <f t="shared" si="87"/>
        <v>4967.2082563734766</v>
      </c>
      <c r="AK25" s="3">
        <f t="shared" si="87"/>
        <v>5016.8803389372115</v>
      </c>
      <c r="AL25" s="3">
        <f t="shared" si="87"/>
        <v>5067.0491423265839</v>
      </c>
      <c r="AM25" s="3">
        <f t="shared" si="87"/>
        <v>5117.7196337498499</v>
      </c>
      <c r="AN25" s="3">
        <f t="shared" si="87"/>
        <v>5168.8968300873485</v>
      </c>
      <c r="AO25" s="3">
        <f t="shared" si="87"/>
        <v>5220.5857983882224</v>
      </c>
      <c r="AP25" s="3">
        <f t="shared" si="87"/>
        <v>5272.7916563721046</v>
      </c>
      <c r="AQ25" s="3">
        <f t="shared" si="87"/>
        <v>5325.5195729358256</v>
      </c>
      <c r="AR25" s="3">
        <f t="shared" si="87"/>
        <v>5378.7747686651837</v>
      </c>
      <c r="AS25" s="3">
        <f t="shared" si="87"/>
        <v>5432.5625163518353</v>
      </c>
      <c r="AT25" s="3">
        <f t="shared" si="87"/>
        <v>5486.8881415153537</v>
      </c>
      <c r="AU25" s="3">
        <f t="shared" si="87"/>
        <v>5541.7570229305074</v>
      </c>
      <c r="AV25" s="3">
        <f t="shared" si="87"/>
        <v>5597.1745931598125</v>
      </c>
      <c r="AW25" s="3">
        <f t="shared" si="87"/>
        <v>5653.1463390914105</v>
      </c>
      <c r="AX25" s="3">
        <f t="shared" ref="AX25:CC25" si="88">AW25*(1+$Y$19)</f>
        <v>5709.6778024823243</v>
      </c>
      <c r="AY25" s="3">
        <f t="shared" si="88"/>
        <v>5766.7745805071472</v>
      </c>
      <c r="AZ25" s="3">
        <f t="shared" si="88"/>
        <v>5824.4423263122189</v>
      </c>
      <c r="BA25" s="3">
        <f t="shared" si="88"/>
        <v>5882.6867495753413</v>
      </c>
      <c r="BB25" s="3">
        <f t="shared" si="88"/>
        <v>5941.5136170710948</v>
      </c>
      <c r="BC25" s="3">
        <f t="shared" si="88"/>
        <v>6000.9287532418057</v>
      </c>
      <c r="BD25" s="3">
        <f t="shared" si="88"/>
        <v>6060.9380407742237</v>
      </c>
      <c r="BE25" s="3">
        <f t="shared" si="88"/>
        <v>6121.5474211819665</v>
      </c>
      <c r="BF25" s="3">
        <f t="shared" si="88"/>
        <v>6182.7628953937865</v>
      </c>
      <c r="BG25" s="3">
        <f t="shared" si="88"/>
        <v>6244.5905243477246</v>
      </c>
      <c r="BH25" s="3">
        <f t="shared" si="88"/>
        <v>6307.0364295912022</v>
      </c>
      <c r="BI25" s="3">
        <f t="shared" si="88"/>
        <v>6370.1067938871147</v>
      </c>
      <c r="BJ25" s="3">
        <f t="shared" si="88"/>
        <v>6433.807861825986</v>
      </c>
      <c r="BK25" s="3">
        <f t="shared" si="88"/>
        <v>6498.1459404442458</v>
      </c>
      <c r="BL25" s="3">
        <f t="shared" si="88"/>
        <v>6563.1273998486886</v>
      </c>
      <c r="BM25" s="3">
        <f t="shared" si="88"/>
        <v>6628.7586738471755</v>
      </c>
      <c r="BN25" s="3">
        <f t="shared" si="88"/>
        <v>6695.0462605856474</v>
      </c>
      <c r="BO25" s="3">
        <f t="shared" si="88"/>
        <v>6761.9967231915043</v>
      </c>
      <c r="BP25" s="3">
        <f t="shared" si="88"/>
        <v>6829.6166904234196</v>
      </c>
      <c r="BQ25" s="3">
        <f t="shared" si="88"/>
        <v>6897.9128573276539</v>
      </c>
      <c r="BR25" s="3">
        <f t="shared" si="88"/>
        <v>6966.8919859009302</v>
      </c>
      <c r="BS25" s="3">
        <f t="shared" si="88"/>
        <v>7036.5609057599395</v>
      </c>
      <c r="BT25" s="3">
        <f t="shared" si="88"/>
        <v>7106.9265148175391</v>
      </c>
      <c r="BU25" s="3">
        <f t="shared" si="88"/>
        <v>7177.995779965715</v>
      </c>
      <c r="BV25" s="3">
        <f t="shared" si="88"/>
        <v>7249.7757377653725</v>
      </c>
      <c r="BW25" s="3">
        <f t="shared" si="88"/>
        <v>7322.2734951430266</v>
      </c>
      <c r="BX25" s="3">
        <f t="shared" si="88"/>
        <v>7395.4962300944571</v>
      </c>
      <c r="BY25" s="3">
        <f t="shared" si="88"/>
        <v>7469.4511923954014</v>
      </c>
      <c r="BZ25" s="3">
        <f t="shared" si="88"/>
        <v>7544.1457043193559</v>
      </c>
      <c r="CA25" s="3">
        <f t="shared" si="88"/>
        <v>7619.5871613625495</v>
      </c>
      <c r="CB25" s="3">
        <f t="shared" si="88"/>
        <v>7695.7830329761755</v>
      </c>
      <c r="CC25" s="3">
        <f t="shared" si="88"/>
        <v>7772.7408633059376</v>
      </c>
      <c r="CD25" s="3">
        <f t="shared" ref="CD25:DI25" si="89">CC25*(1+$Y$19)</f>
        <v>7850.4682719389975</v>
      </c>
      <c r="CE25" s="3">
        <f t="shared" si="89"/>
        <v>7928.9729546583876</v>
      </c>
      <c r="CF25" s="3">
        <f t="shared" si="89"/>
        <v>8008.2626842049713</v>
      </c>
      <c r="CG25" s="3">
        <f t="shared" si="89"/>
        <v>8088.3453110470209</v>
      </c>
      <c r="CH25" s="3">
        <f t="shared" si="89"/>
        <v>8169.2287641574912</v>
      </c>
      <c r="CI25" s="3">
        <f t="shared" si="89"/>
        <v>8250.9210517990668</v>
      </c>
      <c r="CJ25" s="3">
        <f t="shared" si="89"/>
        <v>8333.430262317057</v>
      </c>
      <c r="CK25" s="3">
        <f t="shared" si="89"/>
        <v>8416.7645649402275</v>
      </c>
      <c r="CL25" s="3">
        <f t="shared" si="89"/>
        <v>8500.9322105896299</v>
      </c>
      <c r="CM25" s="3">
        <f t="shared" si="89"/>
        <v>8585.9415326955259</v>
      </c>
      <c r="CN25" s="3">
        <f t="shared" si="89"/>
        <v>8671.800948022481</v>
      </c>
      <c r="CO25" s="3">
        <f t="shared" si="89"/>
        <v>8758.5189575027052</v>
      </c>
      <c r="CP25" s="3">
        <f t="shared" si="89"/>
        <v>8846.1041470777327</v>
      </c>
      <c r="CQ25" s="3">
        <f t="shared" si="89"/>
        <v>8934.5651885485095</v>
      </c>
      <c r="CR25" s="3">
        <f t="shared" si="89"/>
        <v>9023.910840433995</v>
      </c>
      <c r="CS25" s="3">
        <f t="shared" si="89"/>
        <v>9114.1499488383342</v>
      </c>
      <c r="CT25" s="3">
        <f t="shared" si="89"/>
        <v>9205.2914483267177</v>
      </c>
      <c r="CU25" s="3">
        <f t="shared" si="89"/>
        <v>9297.3443628099849</v>
      </c>
      <c r="CV25" s="3">
        <f t="shared" si="89"/>
        <v>9390.3178064380845</v>
      </c>
      <c r="CW25" s="3">
        <f t="shared" si="89"/>
        <v>9484.2209845024663</v>
      </c>
      <c r="CX25" s="3">
        <f t="shared" si="89"/>
        <v>9579.0631943474909</v>
      </c>
      <c r="CY25" s="3">
        <f t="shared" si="89"/>
        <v>9674.853826290966</v>
      </c>
      <c r="CZ25" s="3">
        <f t="shared" si="89"/>
        <v>9771.6023645538753</v>
      </c>
      <c r="DA25" s="3">
        <f t="shared" si="89"/>
        <v>9869.3183881994137</v>
      </c>
      <c r="DB25" s="3">
        <f t="shared" si="89"/>
        <v>9968.0115720814083</v>
      </c>
      <c r="DC25" s="3">
        <f t="shared" si="89"/>
        <v>10067.691687802222</v>
      </c>
      <c r="DD25" s="3">
        <f t="shared" si="89"/>
        <v>10168.368604680245</v>
      </c>
      <c r="DE25" s="3">
        <f t="shared" si="89"/>
        <v>10270.052290727048</v>
      </c>
      <c r="DF25" s="3">
        <f t="shared" si="89"/>
        <v>10372.752813634319</v>
      </c>
      <c r="DG25" s="3">
        <f t="shared" si="89"/>
        <v>10476.480341770663</v>
      </c>
      <c r="DH25" s="3">
        <f t="shared" si="89"/>
        <v>10581.24514518837</v>
      </c>
      <c r="DI25" s="3">
        <f t="shared" si="89"/>
        <v>10687.057596640254</v>
      </c>
      <c r="DJ25" s="3">
        <f t="shared" ref="DJ25:DO25" si="90">DI25*(1+$Y$19)</f>
        <v>10793.928172606657</v>
      </c>
      <c r="DK25" s="3">
        <f t="shared" si="90"/>
        <v>10901.867454332723</v>
      </c>
      <c r="DL25" s="3">
        <f t="shared" si="90"/>
        <v>11010.886128876051</v>
      </c>
      <c r="DM25" s="3">
        <f t="shared" si="90"/>
        <v>11120.994990164811</v>
      </c>
      <c r="DN25" s="3">
        <f t="shared" si="90"/>
        <v>11232.204940066458</v>
      </c>
      <c r="DO25" s="3">
        <f t="shared" si="90"/>
        <v>11344.526989467124</v>
      </c>
    </row>
    <row r="27" spans="1:119" x14ac:dyDescent="0.2">
      <c r="A27" s="1" t="s">
        <v>35</v>
      </c>
      <c r="D27" s="1">
        <f>D29-D31</f>
        <v>-12333</v>
      </c>
      <c r="E27" s="1">
        <f>D27+E13</f>
        <v>-12333</v>
      </c>
      <c r="L27" s="1">
        <f>E27</f>
        <v>-12333</v>
      </c>
      <c r="M27" s="1">
        <f>L27+M13</f>
        <v>-10128.062099999999</v>
      </c>
      <c r="N27" s="1">
        <f t="shared" ref="N27:V27" si="91">M27+N13</f>
        <v>-7779.7282259999993</v>
      </c>
      <c r="O27" s="1">
        <f t="shared" si="91"/>
        <v>-5281.3790636699978</v>
      </c>
      <c r="P27" s="1">
        <f t="shared" si="91"/>
        <v>-2626.1271961967968</v>
      </c>
      <c r="Q27" s="1">
        <f t="shared" si="91"/>
        <v>193.19302448209964</v>
      </c>
      <c r="R27" s="1">
        <f t="shared" si="91"/>
        <v>3184.0359728783069</v>
      </c>
      <c r="S27" s="1">
        <f t="shared" si="91"/>
        <v>6354.1556244562526</v>
      </c>
      <c r="T27" s="1">
        <f t="shared" si="91"/>
        <v>9711.6168227532853</v>
      </c>
      <c r="U27" s="1">
        <f t="shared" si="91"/>
        <v>13264.806952886129</v>
      </c>
      <c r="V27" s="1">
        <f t="shared" si="91"/>
        <v>17022.448035686466</v>
      </c>
    </row>
    <row r="29" spans="1:119" x14ac:dyDescent="0.2">
      <c r="A29" s="1" t="s">
        <v>4</v>
      </c>
      <c r="D29" s="1">
        <v>152</v>
      </c>
    </row>
    <row r="31" spans="1:119" x14ac:dyDescent="0.2">
      <c r="A31" s="1" t="s">
        <v>5</v>
      </c>
      <c r="D31" s="1">
        <f>10681+1804</f>
        <v>12485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2025-04-13T01:32:23Z</dcterms:created>
  <dcterms:modified xsi:type="dcterms:W3CDTF">2025-05-29T22:26:32Z</dcterms:modified>
</cp:coreProperties>
</file>