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E0AF290-549E-4E42-A534-9C7FBFCD31AD}" xr6:coauthVersionLast="47" xr6:coauthVersionMax="47" xr10:uidLastSave="{00000000-0000-0000-0000-000000000000}"/>
  <bookViews>
    <workbookView xWindow="6045" yWindow="780" windowWidth="17745" windowHeight="14640" xr2:uid="{132BCE85-80DB-4206-808A-BE81B74FAE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S2" i="2"/>
  <c r="T2" i="2"/>
  <c r="U2" i="2" s="1"/>
  <c r="V2" i="2" s="1"/>
  <c r="W2" i="2" s="1"/>
  <c r="X2" i="2" s="1"/>
  <c r="Y2" i="2" s="1"/>
  <c r="Q2" i="2"/>
  <c r="P11" i="2"/>
  <c r="P10" i="2"/>
  <c r="P9" i="2"/>
  <c r="P2" i="2"/>
  <c r="H2" i="2"/>
  <c r="I2" i="2"/>
  <c r="G2" i="2"/>
  <c r="G9" i="2"/>
  <c r="G10" i="2" s="1"/>
  <c r="G12" i="2" s="1"/>
  <c r="F19" i="2"/>
  <c r="G22" i="2"/>
  <c r="F22" i="2"/>
  <c r="F18" i="2"/>
  <c r="H21" i="2"/>
  <c r="I21" i="2"/>
  <c r="G21" i="2"/>
  <c r="F21" i="2"/>
  <c r="Q21" i="2"/>
  <c r="R21" i="2"/>
  <c r="S21" i="2"/>
  <c r="T21" i="2" s="1"/>
  <c r="U21" i="2" s="1"/>
  <c r="V21" i="2" s="1"/>
  <c r="W21" i="2" s="1"/>
  <c r="X21" i="2" s="1"/>
  <c r="Y21" i="2" s="1"/>
  <c r="P21" i="2"/>
  <c r="I15" i="2"/>
  <c r="H15" i="2"/>
  <c r="G15" i="2"/>
  <c r="F16" i="2"/>
  <c r="B16" i="2"/>
  <c r="F15" i="2"/>
  <c r="B15" i="2"/>
  <c r="B11" i="2"/>
  <c r="C14" i="2"/>
  <c r="D14" i="2"/>
  <c r="E14" i="2"/>
  <c r="C12" i="2"/>
  <c r="D12" i="2"/>
  <c r="E12" i="2"/>
  <c r="B12" i="2"/>
  <c r="B14" i="2" s="1"/>
  <c r="C10" i="2"/>
  <c r="D10" i="2"/>
  <c r="E10" i="2"/>
  <c r="B10" i="2"/>
  <c r="C9" i="2"/>
  <c r="D9" i="2"/>
  <c r="E9" i="2"/>
  <c r="B9" i="2"/>
  <c r="F14" i="2"/>
  <c r="F12" i="2"/>
  <c r="F11" i="2"/>
  <c r="F10" i="2"/>
  <c r="F9" i="2"/>
  <c r="G11" i="2"/>
  <c r="F32" i="2"/>
  <c r="F30" i="2"/>
  <c r="F28" i="2" s="1"/>
  <c r="N26" i="2"/>
  <c r="N22" i="2" s="1"/>
  <c r="O26" i="2"/>
  <c r="O22" i="2" s="1"/>
  <c r="M26" i="2"/>
  <c r="P18" i="2"/>
  <c r="O11" i="2"/>
  <c r="N11" i="2"/>
  <c r="M11" i="2"/>
  <c r="O18" i="2"/>
  <c r="N18" i="2"/>
  <c r="N9" i="2"/>
  <c r="N10" i="2" s="1"/>
  <c r="N21" i="2" s="1"/>
  <c r="O9" i="2"/>
  <c r="O10" i="2" s="1"/>
  <c r="O21" i="2" s="1"/>
  <c r="M9" i="2"/>
  <c r="M10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D6" i="1"/>
  <c r="D5" i="1"/>
  <c r="D4" i="1"/>
  <c r="D7" i="1" s="1"/>
  <c r="D3" i="1"/>
  <c r="H22" i="2" l="1"/>
  <c r="I9" i="2"/>
  <c r="I10" i="2" s="1"/>
  <c r="I22" i="2"/>
  <c r="H9" i="2"/>
  <c r="H10" i="2" s="1"/>
  <c r="G13" i="2"/>
  <c r="G14" i="2" s="1"/>
  <c r="M12" i="2"/>
  <c r="M21" i="2"/>
  <c r="P25" i="2"/>
  <c r="P24" i="2"/>
  <c r="M22" i="2"/>
  <c r="R18" i="2"/>
  <c r="Q18" i="2"/>
  <c r="Q9" i="2"/>
  <c r="Q10" i="2" s="1"/>
  <c r="O12" i="2"/>
  <c r="N12" i="2"/>
  <c r="G16" i="2" l="1"/>
  <c r="G28" i="2"/>
  <c r="H11" i="2" s="1"/>
  <c r="H12" i="2" s="1"/>
  <c r="G18" i="2"/>
  <c r="H13" i="2"/>
  <c r="H14" i="2" s="1"/>
  <c r="N19" i="2"/>
  <c r="N14" i="2"/>
  <c r="N27" i="2" s="1"/>
  <c r="O19" i="2"/>
  <c r="O14" i="2"/>
  <c r="O27" i="2" s="1"/>
  <c r="Q25" i="2"/>
  <c r="Q24" i="2"/>
  <c r="R24" i="2"/>
  <c r="R25" i="2"/>
  <c r="M14" i="2"/>
  <c r="M27" i="2" s="1"/>
  <c r="M19" i="2"/>
  <c r="U18" i="2"/>
  <c r="S18" i="2"/>
  <c r="P12" i="2"/>
  <c r="P13" i="2" s="1"/>
  <c r="P14" i="2" s="1"/>
  <c r="P26" i="2" s="1"/>
  <c r="R9" i="2"/>
  <c r="R10" i="2" s="1"/>
  <c r="H16" i="2" l="1"/>
  <c r="H18" i="2"/>
  <c r="H28" i="2"/>
  <c r="I11" i="2" s="1"/>
  <c r="I12" i="2" s="1"/>
  <c r="I13" i="2" s="1"/>
  <c r="I14" i="2" s="1"/>
  <c r="S24" i="2"/>
  <c r="U24" i="2" s="1"/>
  <c r="S25" i="2"/>
  <c r="U25" i="2" s="1"/>
  <c r="P22" i="2"/>
  <c r="V18" i="2"/>
  <c r="T18" i="2"/>
  <c r="T25" i="2" s="1"/>
  <c r="S9" i="2"/>
  <c r="S10" i="2" s="1"/>
  <c r="I28" i="2" l="1"/>
  <c r="P28" i="2" s="1"/>
  <c r="I16" i="2"/>
  <c r="I18" i="2"/>
  <c r="V25" i="2"/>
  <c r="T24" i="2"/>
  <c r="V24" i="2" s="1"/>
  <c r="W18" i="2"/>
  <c r="W25" i="2" s="1"/>
  <c r="Q11" i="2" l="1"/>
  <c r="Q12" i="2" s="1"/>
  <c r="Q13" i="2" s="1"/>
  <c r="Q14" i="2" s="1"/>
  <c r="Q26" i="2" s="1"/>
  <c r="Q22" i="2" s="1"/>
  <c r="W24" i="2"/>
  <c r="T9" i="2"/>
  <c r="T10" i="2" s="1"/>
  <c r="X18" i="2"/>
  <c r="X25" i="2" s="1"/>
  <c r="Q28" i="2" l="1"/>
  <c r="R11" i="2" s="1"/>
  <c r="R12" i="2" s="1"/>
  <c r="R13" i="2" s="1"/>
  <c r="R14" i="2" s="1"/>
  <c r="R26" i="2" s="1"/>
  <c r="R22" i="2" s="1"/>
  <c r="X24" i="2"/>
  <c r="U9" i="2"/>
  <c r="U10" i="2" s="1"/>
  <c r="Y18" i="2"/>
  <c r="Y25" i="2" s="1"/>
  <c r="R28" i="2" l="1"/>
  <c r="Y24" i="2"/>
  <c r="V9" i="2"/>
  <c r="V10" i="2" s="1"/>
  <c r="S11" i="2" l="1"/>
  <c r="S12" i="2" s="1"/>
  <c r="S13" i="2" s="1"/>
  <c r="S14" i="2" s="1"/>
  <c r="S26" i="2" s="1"/>
  <c r="S22" i="2" s="1"/>
  <c r="W9" i="2"/>
  <c r="W10" i="2" s="1"/>
  <c r="S28" i="2" l="1"/>
  <c r="T11" i="2" s="1"/>
  <c r="T12" i="2" s="1"/>
  <c r="T13" i="2" s="1"/>
  <c r="T14" i="2" s="1"/>
  <c r="T26" i="2" s="1"/>
  <c r="T22" i="2" s="1"/>
  <c r="Y9" i="2"/>
  <c r="Y10" i="2" s="1"/>
  <c r="X9" i="2"/>
  <c r="X10" i="2" s="1"/>
  <c r="T28" i="2" l="1"/>
  <c r="U11" i="2" s="1"/>
  <c r="U12" i="2" s="1"/>
  <c r="U13" i="2" s="1"/>
  <c r="U14" i="2" s="1"/>
  <c r="U26" i="2" s="1"/>
  <c r="U22" i="2" s="1"/>
  <c r="U28" i="2" l="1"/>
  <c r="V11" i="2" s="1"/>
  <c r="V12" i="2" s="1"/>
  <c r="V13" i="2" s="1"/>
  <c r="V14" i="2" s="1"/>
  <c r="V26" i="2" s="1"/>
  <c r="V22" i="2" s="1"/>
  <c r="V28" i="2" l="1"/>
  <c r="W11" i="2" l="1"/>
  <c r="W12" i="2" s="1"/>
  <c r="W13" i="2" s="1"/>
  <c r="W14" i="2" s="1"/>
  <c r="W26" i="2" s="1"/>
  <c r="W22" i="2" s="1"/>
  <c r="W28" i="2" l="1"/>
  <c r="X11" i="2" l="1"/>
  <c r="X12" i="2" s="1"/>
  <c r="X13" i="2" s="1"/>
  <c r="X14" i="2" s="1"/>
  <c r="X26" i="2" s="1"/>
  <c r="X22" i="2" s="1"/>
  <c r="X28" i="2" l="1"/>
  <c r="Y11" i="2" l="1"/>
  <c r="Y12" i="2" s="1"/>
  <c r="Y13" i="2" s="1"/>
  <c r="Y14" i="2" s="1"/>
  <c r="Y26" i="2" l="1"/>
  <c r="Z14" i="2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Y28" i="2"/>
  <c r="Y22" i="2" l="1"/>
  <c r="Z26" i="2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AB19" i="2" s="1"/>
  <c r="AB20" i="2" s="1"/>
  <c r="AB21" i="2" s="1"/>
</calcChain>
</file>

<file path=xl/sharedStrings.xml><?xml version="1.0" encoding="utf-8"?>
<sst xmlns="http://schemas.openxmlformats.org/spreadsheetml/2006/main" count="49" uniqueCount="42">
  <si>
    <t>V</t>
  </si>
  <si>
    <t>Price</t>
  </si>
  <si>
    <t>Shares</t>
  </si>
  <si>
    <t>MC</t>
  </si>
  <si>
    <t>Cash</t>
  </si>
  <si>
    <t>Debt</t>
  </si>
  <si>
    <t>EV</t>
  </si>
  <si>
    <t>Q125</t>
  </si>
  <si>
    <t>Q124</t>
  </si>
  <si>
    <t>Q224</t>
  </si>
  <si>
    <t>Q324</t>
  </si>
  <si>
    <t>Q424</t>
  </si>
  <si>
    <t>Q225</t>
  </si>
  <si>
    <t>ROIC</t>
  </si>
  <si>
    <t>Maturity</t>
  </si>
  <si>
    <t>Discount</t>
  </si>
  <si>
    <t>NPV</t>
  </si>
  <si>
    <t>Diff</t>
  </si>
  <si>
    <t>Revenue</t>
  </si>
  <si>
    <t>Personnel</t>
  </si>
  <si>
    <t>Marketing</t>
  </si>
  <si>
    <t>Network and Processing</t>
  </si>
  <si>
    <t>Professional Fees</t>
  </si>
  <si>
    <t>D&amp;A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</si>
  <si>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</si>
  <si>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</si>
  <si>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</si>
  <si>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</si>
  <si>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</si>
  <si>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</si>
  <si>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</si>
  <si>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</si>
  <si>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Revenue Growth</t>
  </si>
  <si>
    <t>Tax Rate</t>
  </si>
  <si>
    <t>Operating Margin</t>
  </si>
  <si>
    <t>FCF Margin</t>
  </si>
  <si>
    <t>CFFO</t>
  </si>
  <si>
    <t>CX</t>
  </si>
  <si>
    <t>FCF</t>
  </si>
  <si>
    <t>Net Cash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</si>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</sst>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38100</xdr:rowOff>
    </xdr:from>
    <xdr:to>
      <xdr:col>15</xdr:col>
      <xdr:colOff>47625</xdr:colOff>
      <xdr:row>34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C9F347-0923-B588-EDCE-335E601283C7}"/>
            </a:ext>
          </a:extLst>
        </xdr:cNvPr>
        <xdr:cNvCxnSpPr/>
      </xdr:nvCxnSpPr>
      <xdr:spPr>
        <a:xfrm>
          <a:off x="8801100" y="38100"/>
          <a:ext cx="57150" cy="655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0</xdr:row>
      <xdr:rowOff>19050</xdr:rowOff>
    </xdr:from>
    <xdr:to>
      <xdr:col>6</xdr:col>
      <xdr:colOff>38100</xdr:colOff>
      <xdr:row>34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6316EF3-093F-4387-B6F4-F6F3D11D20B1}"/>
            </a:ext>
          </a:extLst>
        </xdr:cNvPr>
        <xdr:cNvCxnSpPr/>
      </xdr:nvCxnSpPr>
      <xdr:spPr>
        <a:xfrm>
          <a:off x="4524375" y="19050"/>
          <a:ext cx="57150" cy="655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068E-FBF0-4CE3-BA60-C16B01E0546D}">
  <dimension ref="A1:E7"/>
  <sheetViews>
    <sheetView tabSelected="1" zoomScale="280" zoomScaleNormal="280" workbookViewId="0">
      <selection activeCell="D3" sqref="D3"/>
    </sheetView>
  </sheetViews>
  <sheetFormatPr defaultRowHeight="14.25" x14ac:dyDescent="0.2"/>
  <cols>
    <col min="1" max="16384" width="9.140625" style="10"/>
  </cols>
  <sheetData>
    <row r="1" spans="1:5" ht="15" x14ac:dyDescent="0.25">
      <c r="A1" s="9" t="s">
        <v>0</v>
      </c>
    </row>
    <row r="2" spans="1:5" x14ac:dyDescent="0.2">
      <c r="C2" s="10" t="s">
        <v>1</v>
      </c>
      <c r="D2" s="4">
        <v>362</v>
      </c>
    </row>
    <row r="3" spans="1:5" x14ac:dyDescent="0.2">
      <c r="C3" s="10" t="s">
        <v>2</v>
      </c>
      <c r="D3" s="1">
        <f>1723.362+4.83+120.338+9.24</f>
        <v>1857.77</v>
      </c>
      <c r="E3" s="10" t="s">
        <v>7</v>
      </c>
    </row>
    <row r="4" spans="1:5" x14ac:dyDescent="0.2">
      <c r="C4" s="10" t="s">
        <v>3</v>
      </c>
      <c r="D4" s="1">
        <f>D2*D3</f>
        <v>672512.74</v>
      </c>
    </row>
    <row r="5" spans="1:5" x14ac:dyDescent="0.2">
      <c r="C5" s="10" t="s">
        <v>4</v>
      </c>
      <c r="D5" s="1">
        <f>12367+3112+1967+3683</f>
        <v>21129</v>
      </c>
      <c r="E5" s="10" t="s">
        <v>7</v>
      </c>
    </row>
    <row r="6" spans="1:5" x14ac:dyDescent="0.2">
      <c r="C6" s="10" t="s">
        <v>5</v>
      </c>
      <c r="D6" s="1">
        <f>16680+5192+2629</f>
        <v>24501</v>
      </c>
      <c r="E6" s="10" t="s">
        <v>7</v>
      </c>
    </row>
    <row r="7" spans="1:5" x14ac:dyDescent="0.2">
      <c r="C7" s="10" t="s">
        <v>6</v>
      </c>
      <c r="D7" s="1">
        <f>D4+D6-D5</f>
        <v>675884.74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7826-BDE9-4447-9F3A-6B981EC2DCA8}">
  <dimension ref="A1:DN32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T28" sqref="T28"/>
    </sheetView>
  </sheetViews>
  <sheetFormatPr defaultRowHeight="14.25" x14ac:dyDescent="0.2"/>
  <cols>
    <col min="1" max="1" width="22.42578125" style="1" customWidth="1"/>
    <col min="2" max="16384" width="9.140625" style="1"/>
  </cols>
  <sheetData>
    <row r="1" spans="1:1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7</v>
      </c>
      <c r="G1" s="1" t="s">
        <v>12</v>
      </c>
      <c r="H1" s="1" t="s">
        <v>40</v>
      </c>
      <c r="I1" s="1" t="s">
        <v>41</v>
      </c>
      <c r="K1" s="2">
        <v>2020</v>
      </c>
      <c r="L1" s="2">
        <f>K1+1</f>
        <v>2021</v>
      </c>
      <c r="M1" s="2">
        <f t="shared" ref="M1:Y1" si="0">L1+1</f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  <c r="U1" s="2">
        <f t="shared" si="0"/>
        <v>2030</v>
      </c>
      <c r="V1" s="2">
        <f t="shared" si="0"/>
        <v>2031</v>
      </c>
      <c r="W1" s="2">
        <f t="shared" si="0"/>
        <v>2032</v>
      </c>
      <c r="X1" s="2">
        <f t="shared" si="0"/>
        <v>2033</v>
      </c>
      <c r="Y1" s="2">
        <f t="shared" si="0"/>
        <v>2034</v>
      </c>
    </row>
    <row r="2" spans="1:111" s="3" customFormat="1" ht="15" x14ac:dyDescent="0.25">
      <c r="A2" s="3" t="s">
        <v>18</v>
      </c>
      <c r="B2" s="3">
        <v>8634</v>
      </c>
      <c r="F2" s="3">
        <v>9510</v>
      </c>
      <c r="G2" s="3">
        <f>F2*1.05</f>
        <v>9985.5</v>
      </c>
      <c r="H2" s="3">
        <f t="shared" ref="H2:I2" si="1">G2*1.05</f>
        <v>10484.775</v>
      </c>
      <c r="I2" s="3">
        <f t="shared" si="1"/>
        <v>11009.01375</v>
      </c>
      <c r="M2" s="3">
        <v>29310</v>
      </c>
      <c r="N2" s="3">
        <v>32653</v>
      </c>
      <c r="O2" s="3">
        <v>36926</v>
      </c>
      <c r="P2" s="3">
        <f>SUM(F2:I2)</f>
        <v>40989.28875</v>
      </c>
      <c r="Q2" s="3">
        <f>P2*1.1</f>
        <v>45088.217625000005</v>
      </c>
      <c r="R2" s="3">
        <f t="shared" ref="R2:T2" si="2">Q2*1.1</f>
        <v>49597.039387500008</v>
      </c>
      <c r="S2" s="3">
        <f t="shared" si="2"/>
        <v>54556.743326250013</v>
      </c>
      <c r="T2" s="3">
        <f t="shared" si="2"/>
        <v>60012.41765887502</v>
      </c>
      <c r="U2" s="3">
        <f t="shared" ref="U2:Y2" si="3">T2*1.07</f>
        <v>64213.286894996272</v>
      </c>
      <c r="V2" s="3">
        <f t="shared" si="3"/>
        <v>68708.216977646021</v>
      </c>
      <c r="W2" s="3">
        <f t="shared" si="3"/>
        <v>73517.792166081243</v>
      </c>
      <c r="X2" s="3">
        <f t="shared" si="3"/>
        <v>78664.037617706941</v>
      </c>
      <c r="Y2" s="3">
        <f t="shared" si="3"/>
        <v>84170.520250946429</v>
      </c>
    </row>
    <row r="3" spans="1:111" x14ac:dyDescent="0.2">
      <c r="A3" s="1" t="s">
        <v>19</v>
      </c>
      <c r="B3" s="1">
        <v>1479</v>
      </c>
      <c r="F3" s="1">
        <v>1813</v>
      </c>
      <c r="M3" s="1">
        <v>4990</v>
      </c>
      <c r="N3" s="1">
        <v>5831</v>
      </c>
      <c r="O3" s="1">
        <v>6264</v>
      </c>
    </row>
    <row r="4" spans="1:111" x14ac:dyDescent="0.2">
      <c r="A4" s="1" t="s">
        <v>20</v>
      </c>
      <c r="B4" s="1">
        <v>293</v>
      </c>
      <c r="F4" s="1">
        <v>306</v>
      </c>
      <c r="M4" s="1">
        <v>1336</v>
      </c>
      <c r="N4" s="1">
        <v>1341</v>
      </c>
      <c r="O4" s="1">
        <v>1560</v>
      </c>
    </row>
    <row r="5" spans="1:111" x14ac:dyDescent="0.2">
      <c r="A5" s="1" t="s">
        <v>21</v>
      </c>
      <c r="B5" s="1">
        <v>181</v>
      </c>
      <c r="F5" s="1">
        <v>207</v>
      </c>
      <c r="M5" s="1">
        <v>743</v>
      </c>
      <c r="N5" s="1">
        <v>736</v>
      </c>
      <c r="O5" s="1">
        <v>778</v>
      </c>
    </row>
    <row r="6" spans="1:111" x14ac:dyDescent="0.2">
      <c r="A6" s="1" t="s">
        <v>22</v>
      </c>
      <c r="B6" s="1">
        <v>131</v>
      </c>
      <c r="F6" s="1">
        <v>143</v>
      </c>
      <c r="M6" s="1">
        <v>505</v>
      </c>
      <c r="N6" s="1">
        <v>545</v>
      </c>
      <c r="O6" s="1">
        <v>635</v>
      </c>
    </row>
    <row r="7" spans="1:111" x14ac:dyDescent="0.2">
      <c r="A7" s="1" t="s">
        <v>23</v>
      </c>
      <c r="B7" s="1">
        <v>247</v>
      </c>
      <c r="F7" s="1">
        <v>282</v>
      </c>
      <c r="M7" s="1">
        <v>861</v>
      </c>
      <c r="N7" s="1">
        <v>943</v>
      </c>
      <c r="O7" s="1">
        <v>1034</v>
      </c>
    </row>
    <row r="8" spans="1:111" x14ac:dyDescent="0.2">
      <c r="A8" s="1" t="s">
        <v>24</v>
      </c>
      <c r="B8" s="1">
        <v>340</v>
      </c>
      <c r="F8" s="1">
        <v>481</v>
      </c>
      <c r="M8" s="1">
        <v>1194</v>
      </c>
      <c r="N8" s="1">
        <v>1330</v>
      </c>
      <c r="O8" s="1">
        <v>1598</v>
      </c>
    </row>
    <row r="9" spans="1:111" x14ac:dyDescent="0.2">
      <c r="A9" s="1" t="s">
        <v>25</v>
      </c>
      <c r="B9" s="1">
        <f>SUM(B3:B8)</f>
        <v>2671</v>
      </c>
      <c r="C9" s="1">
        <f t="shared" ref="C9:E9" si="4">SUM(C3:C8)</f>
        <v>0</v>
      </c>
      <c r="D9" s="1">
        <f t="shared" si="4"/>
        <v>0</v>
      </c>
      <c r="E9" s="1">
        <f t="shared" si="4"/>
        <v>0</v>
      </c>
      <c r="F9" s="1">
        <f>SUM(F3:F8)</f>
        <v>3232</v>
      </c>
      <c r="G9" s="1">
        <f>G2*(1-G21)</f>
        <v>3383.7121499999994</v>
      </c>
      <c r="H9" s="1">
        <f t="shared" ref="H9:I9" si="5">H2*(1-H21)</f>
        <v>3542.4999416362484</v>
      </c>
      <c r="I9" s="1">
        <f t="shared" si="5"/>
        <v>3708.6908555011373</v>
      </c>
      <c r="M9" s="1">
        <f>SUM(M3:M8)</f>
        <v>9629</v>
      </c>
      <c r="N9" s="1">
        <f t="shared" ref="N9:O9" si="6">SUM(N3:N8)</f>
        <v>10726</v>
      </c>
      <c r="O9" s="1">
        <f t="shared" si="6"/>
        <v>11869</v>
      </c>
      <c r="P9" s="1">
        <f>SUM(F9:I9)</f>
        <v>13866.902947137385</v>
      </c>
      <c r="Q9" s="1">
        <f t="shared" ref="Q9:T9" si="7">Q2*(1-Q21)</f>
        <v>14185.832635923285</v>
      </c>
      <c r="R9" s="1">
        <f t="shared" si="7"/>
        <v>15434.452782075698</v>
      </c>
      <c r="S9" s="1">
        <f t="shared" si="7"/>
        <v>16790.00383395344</v>
      </c>
      <c r="T9" s="1">
        <f t="shared" si="7"/>
        <v>18261.287150141157</v>
      </c>
      <c r="U9" s="1">
        <f t="shared" ref="U9:Y9" si="8">U2*(1-U21)</f>
        <v>19316.208702429321</v>
      </c>
      <c r="V9" s="1">
        <f t="shared" si="8"/>
        <v>20428.143943269148</v>
      </c>
      <c r="W9" s="1">
        <f t="shared" si="8"/>
        <v>21599.81562856408</v>
      </c>
      <c r="X9" s="1">
        <f t="shared" si="8"/>
        <v>22834.041548087855</v>
      </c>
      <c r="Y9" s="1">
        <f t="shared" si="8"/>
        <v>24133.733977481552</v>
      </c>
    </row>
    <row r="10" spans="1:111" x14ac:dyDescent="0.2">
      <c r="A10" s="1" t="s">
        <v>26</v>
      </c>
      <c r="B10" s="1">
        <f>B2-B9</f>
        <v>5963</v>
      </c>
      <c r="C10" s="1">
        <f t="shared" ref="C10:E10" si="9">C2-C9</f>
        <v>0</v>
      </c>
      <c r="D10" s="1">
        <f t="shared" si="9"/>
        <v>0</v>
      </c>
      <c r="E10" s="1">
        <f t="shared" si="9"/>
        <v>0</v>
      </c>
      <c r="F10" s="1">
        <f>F2-F9</f>
        <v>6278</v>
      </c>
      <c r="G10" s="1">
        <f t="shared" ref="G10:I10" si="10">G2-G9</f>
        <v>6601.7878500000006</v>
      </c>
      <c r="H10" s="1">
        <f t="shared" si="10"/>
        <v>6942.2750583637517</v>
      </c>
      <c r="I10" s="1">
        <f t="shared" si="10"/>
        <v>7300.3228944988623</v>
      </c>
      <c r="M10" s="1">
        <f>M2-M9</f>
        <v>19681</v>
      </c>
      <c r="N10" s="1">
        <f t="shared" ref="N10:O10" si="11">N2-N9</f>
        <v>21927</v>
      </c>
      <c r="O10" s="1">
        <f t="shared" si="11"/>
        <v>25057</v>
      </c>
      <c r="P10" s="1">
        <f t="shared" ref="P10" si="12">P2-P9</f>
        <v>27122.385802862613</v>
      </c>
      <c r="Q10" s="1">
        <f t="shared" ref="Q10" si="13">Q2-Q9</f>
        <v>30902.38498907672</v>
      </c>
      <c r="R10" s="1">
        <f t="shared" ref="R10" si="14">R2-R9</f>
        <v>34162.586605424309</v>
      </c>
      <c r="S10" s="1">
        <f t="shared" ref="S10" si="15">S2-S9</f>
        <v>37766.739492296576</v>
      </c>
      <c r="T10" s="1">
        <f t="shared" ref="T10" si="16">T2-T9</f>
        <v>41751.130508733862</v>
      </c>
      <c r="U10" s="1">
        <f t="shared" ref="U10" si="17">U2-U9</f>
        <v>44897.078192566951</v>
      </c>
      <c r="V10" s="1">
        <f t="shared" ref="V10" si="18">V2-V9</f>
        <v>48280.073034376874</v>
      </c>
      <c r="W10" s="1">
        <f t="shared" ref="W10" si="19">W2-W9</f>
        <v>51917.976537517163</v>
      </c>
      <c r="X10" s="1">
        <f t="shared" ref="X10" si="20">X2-X9</f>
        <v>55829.996069619083</v>
      </c>
      <c r="Y10" s="1">
        <f t="shared" ref="Y10" si="21">Y2-Y9</f>
        <v>60036.786273464881</v>
      </c>
    </row>
    <row r="11" spans="1:111" x14ac:dyDescent="0.2">
      <c r="A11" s="1" t="s">
        <v>27</v>
      </c>
      <c r="B11" s="1">
        <f>-187+275</f>
        <v>88</v>
      </c>
      <c r="F11" s="1">
        <f>-182+148</f>
        <v>-34</v>
      </c>
      <c r="G11" s="1">
        <f>F28*$AB$16/4</f>
        <v>-50.58</v>
      </c>
      <c r="H11" s="1">
        <f t="shared" ref="H11:I11" si="22">G28*$AB$16/4</f>
        <v>30.982537732500003</v>
      </c>
      <c r="I11" s="1">
        <f t="shared" si="22"/>
        <v>117.79959480389833</v>
      </c>
      <c r="M11" s="1">
        <f>-538-139</f>
        <v>-677</v>
      </c>
      <c r="N11" s="1">
        <f>-644+681</f>
        <v>37</v>
      </c>
      <c r="O11" s="1">
        <f>-641+962</f>
        <v>321</v>
      </c>
      <c r="P11" s="1">
        <f>SUM(F11:I11)</f>
        <v>64.202132536398338</v>
      </c>
      <c r="Q11" s="1">
        <f>P28*$AB$16</f>
        <v>840.62087918287079</v>
      </c>
      <c r="R11" s="1">
        <f t="shared" ref="R11:Y11" si="23">Q28*$AB$16</f>
        <v>2383.3309643802868</v>
      </c>
      <c r="S11" s="1">
        <f t="shared" si="23"/>
        <v>4159.4625582727904</v>
      </c>
      <c r="T11" s="1">
        <f t="shared" si="23"/>
        <v>6197.0759779304617</v>
      </c>
      <c r="U11" s="1">
        <f t="shared" si="23"/>
        <v>8527.358813182349</v>
      </c>
      <c r="V11" s="1">
        <f t="shared" si="23"/>
        <v>11123.786451661765</v>
      </c>
      <c r="W11" s="1">
        <f t="shared" si="23"/>
        <v>14010.814022683242</v>
      </c>
      <c r="X11" s="1">
        <f t="shared" si="23"/>
        <v>17214.953243908978</v>
      </c>
      <c r="Y11" s="1">
        <f t="shared" si="23"/>
        <v>20764.937780546446</v>
      </c>
    </row>
    <row r="12" spans="1:111" x14ac:dyDescent="0.2">
      <c r="A12" s="1" t="s">
        <v>28</v>
      </c>
      <c r="B12" s="1">
        <f>B10+B11</f>
        <v>6051</v>
      </c>
      <c r="C12" s="1">
        <f t="shared" ref="C12:E12" si="24">C10+C11</f>
        <v>0</v>
      </c>
      <c r="D12" s="1">
        <f t="shared" si="24"/>
        <v>0</v>
      </c>
      <c r="E12" s="1">
        <f t="shared" si="24"/>
        <v>0</v>
      </c>
      <c r="F12" s="1">
        <f>F10+F11</f>
        <v>6244</v>
      </c>
      <c r="G12" s="1">
        <f t="shared" ref="G12:I12" si="25">G10+G11</f>
        <v>6551.2078500000007</v>
      </c>
      <c r="H12" s="1">
        <f t="shared" si="25"/>
        <v>6973.2575960962513</v>
      </c>
      <c r="I12" s="1">
        <f t="shared" si="25"/>
        <v>7418.1224893027602</v>
      </c>
      <c r="M12" s="1">
        <f>M10+M11</f>
        <v>19004</v>
      </c>
      <c r="N12" s="1">
        <f t="shared" ref="N12:P12" si="26">N10+N11</f>
        <v>21964</v>
      </c>
      <c r="O12" s="1">
        <f t="shared" si="26"/>
        <v>25378</v>
      </c>
      <c r="P12" s="1">
        <f t="shared" si="26"/>
        <v>27186.587935399009</v>
      </c>
      <c r="Q12" s="1">
        <f t="shared" ref="Q12" si="27">Q10+Q11</f>
        <v>31743.005868259592</v>
      </c>
      <c r="R12" s="1">
        <f t="shared" ref="R12" si="28">R10+R11</f>
        <v>36545.917569804595</v>
      </c>
      <c r="S12" s="1">
        <f t="shared" ref="S12" si="29">S10+S11</f>
        <v>41926.202050569365</v>
      </c>
      <c r="T12" s="1">
        <f t="shared" ref="T12" si="30">T10+T11</f>
        <v>47948.206486664327</v>
      </c>
      <c r="U12" s="1">
        <f t="shared" ref="U12" si="31">U10+U11</f>
        <v>53424.4370057493</v>
      </c>
      <c r="V12" s="1">
        <f t="shared" ref="V12" si="32">V10+V11</f>
        <v>59403.859486038637</v>
      </c>
      <c r="W12" s="1">
        <f t="shared" ref="W12" si="33">W10+W11</f>
        <v>65928.790560200403</v>
      </c>
      <c r="X12" s="1">
        <f t="shared" ref="X12" si="34">X10+X11</f>
        <v>73044.949313528065</v>
      </c>
      <c r="Y12" s="1">
        <f t="shared" ref="Y12" si="35">Y10+Y11</f>
        <v>80801.724054011327</v>
      </c>
    </row>
    <row r="13" spans="1:111" x14ac:dyDescent="0.2">
      <c r="A13" s="1" t="s">
        <v>29</v>
      </c>
      <c r="B13" s="1">
        <v>1152</v>
      </c>
      <c r="F13" s="1">
        <v>1081</v>
      </c>
      <c r="G13" s="1">
        <f>G12*G19</f>
        <v>1113.7053345000002</v>
      </c>
      <c r="H13" s="1">
        <f t="shared" ref="H13:I13" si="36">H12*H19</f>
        <v>1185.4537913363629</v>
      </c>
      <c r="I13" s="1">
        <f t="shared" si="36"/>
        <v>1261.0808231814692</v>
      </c>
      <c r="M13" s="1">
        <v>3179</v>
      </c>
      <c r="N13" s="1">
        <v>3764</v>
      </c>
      <c r="O13" s="1">
        <v>4173</v>
      </c>
      <c r="P13" s="1">
        <f>P12*P19</f>
        <v>4621.7199490178318</v>
      </c>
      <c r="Q13" s="1">
        <f t="shared" ref="Q13:T13" si="37">Q12*Q19</f>
        <v>6031.1711149693228</v>
      </c>
      <c r="R13" s="1">
        <f t="shared" si="37"/>
        <v>6943.7243382628731</v>
      </c>
      <c r="S13" s="1">
        <f t="shared" si="37"/>
        <v>7965.9783896081799</v>
      </c>
      <c r="T13" s="1">
        <f t="shared" si="37"/>
        <v>9110.1592324662215</v>
      </c>
      <c r="U13" s="1">
        <f t="shared" ref="U13" si="38">U12*U19</f>
        <v>10150.643031092368</v>
      </c>
      <c r="V13" s="1">
        <f t="shared" ref="V13" si="39">V12*V19</f>
        <v>11286.73330234734</v>
      </c>
      <c r="W13" s="1">
        <f t="shared" ref="W13" si="40">W12*W19</f>
        <v>12526.470206438076</v>
      </c>
      <c r="X13" s="1">
        <f t="shared" ref="X13" si="41">X12*X19</f>
        <v>13878.540369570332</v>
      </c>
      <c r="Y13" s="1">
        <f t="shared" ref="Y13" si="42">Y12*Y19</f>
        <v>15352.327570262152</v>
      </c>
    </row>
    <row r="14" spans="1:111" s="3" customFormat="1" ht="15" x14ac:dyDescent="0.25">
      <c r="A14" s="3" t="s">
        <v>30</v>
      </c>
      <c r="B14" s="3">
        <f>B12-B13</f>
        <v>4899</v>
      </c>
      <c r="C14" s="3">
        <f t="shared" ref="C14:E14" si="43">C12-C13</f>
        <v>0</v>
      </c>
      <c r="D14" s="3">
        <f t="shared" si="43"/>
        <v>0</v>
      </c>
      <c r="E14" s="3">
        <f t="shared" si="43"/>
        <v>0</v>
      </c>
      <c r="F14" s="3">
        <f>F12-F13</f>
        <v>5163</v>
      </c>
      <c r="G14" s="3">
        <f t="shared" ref="G14:I14" si="44">G12-G13</f>
        <v>5437.5025155000003</v>
      </c>
      <c r="H14" s="3">
        <f t="shared" si="44"/>
        <v>5787.8038047598884</v>
      </c>
      <c r="I14" s="3">
        <f t="shared" si="44"/>
        <v>6157.0416661212912</v>
      </c>
      <c r="M14" s="3">
        <f>M12-M13</f>
        <v>15825</v>
      </c>
      <c r="N14" s="3">
        <f>N12-N13</f>
        <v>18200</v>
      </c>
      <c r="O14" s="3">
        <f>O12-O13</f>
        <v>21205</v>
      </c>
      <c r="P14" s="3">
        <f>P12-P13</f>
        <v>22564.867986381178</v>
      </c>
      <c r="Q14" s="3">
        <f t="shared" ref="Q14:T14" si="45">Q12-Q13</f>
        <v>25711.83475329027</v>
      </c>
      <c r="R14" s="3">
        <f t="shared" si="45"/>
        <v>29602.193231541722</v>
      </c>
      <c r="S14" s="3">
        <f t="shared" si="45"/>
        <v>33960.223660961186</v>
      </c>
      <c r="T14" s="3">
        <f t="shared" si="45"/>
        <v>38838.047254198107</v>
      </c>
      <c r="U14" s="3">
        <f t="shared" ref="U14" si="46">U12-U13</f>
        <v>43273.793974656932</v>
      </c>
      <c r="V14" s="3">
        <f t="shared" ref="V14" si="47">V12-V13</f>
        <v>48117.126183691296</v>
      </c>
      <c r="W14" s="3">
        <f t="shared" ref="W14" si="48">W12-W13</f>
        <v>53402.320353762327</v>
      </c>
      <c r="X14" s="3">
        <f t="shared" ref="X14" si="49">X12-X13</f>
        <v>59166.408943957736</v>
      </c>
      <c r="Y14" s="3">
        <f t="shared" ref="Y14" si="50">Y12-Y13</f>
        <v>65449.396483749173</v>
      </c>
      <c r="Z14" s="3">
        <f t="shared" ref="Z14:BE14" si="51">Y14*(1+$AB$17)</f>
        <v>66103.890448586666</v>
      </c>
      <c r="AA14" s="3">
        <f t="shared" si="51"/>
        <v>66764.929353072526</v>
      </c>
      <c r="AB14" s="3">
        <f t="shared" si="51"/>
        <v>67432.578646603259</v>
      </c>
      <c r="AC14" s="3">
        <f t="shared" si="51"/>
        <v>68106.904433069285</v>
      </c>
      <c r="AD14" s="3">
        <f t="shared" si="51"/>
        <v>68787.973477399981</v>
      </c>
      <c r="AE14" s="3">
        <f t="shared" si="51"/>
        <v>69475.853212173985</v>
      </c>
      <c r="AF14" s="3">
        <f t="shared" si="51"/>
        <v>70170.611744295718</v>
      </c>
      <c r="AG14" s="3">
        <f t="shared" si="51"/>
        <v>70872.317861738673</v>
      </c>
      <c r="AH14" s="3">
        <f t="shared" si="51"/>
        <v>71581.041040356067</v>
      </c>
      <c r="AI14" s="3">
        <f t="shared" si="51"/>
        <v>72296.851450759626</v>
      </c>
      <c r="AJ14" s="3">
        <f t="shared" si="51"/>
        <v>73019.819965267219</v>
      </c>
      <c r="AK14" s="3">
        <f t="shared" si="51"/>
        <v>73750.018164919893</v>
      </c>
      <c r="AL14" s="3">
        <f t="shared" si="51"/>
        <v>74487.518346569093</v>
      </c>
      <c r="AM14" s="3">
        <f t="shared" si="51"/>
        <v>75232.39353003478</v>
      </c>
      <c r="AN14" s="3">
        <f t="shared" si="51"/>
        <v>75984.717465335125</v>
      </c>
      <c r="AO14" s="3">
        <f t="shared" si="51"/>
        <v>76744.564639988472</v>
      </c>
      <c r="AP14" s="3">
        <f t="shared" si="51"/>
        <v>77512.010286388351</v>
      </c>
      <c r="AQ14" s="3">
        <f t="shared" si="51"/>
        <v>78287.130389252241</v>
      </c>
      <c r="AR14" s="3">
        <f t="shared" si="51"/>
        <v>79070.001693144761</v>
      </c>
      <c r="AS14" s="3">
        <f t="shared" si="51"/>
        <v>79860.701710076202</v>
      </c>
      <c r="AT14" s="3">
        <f t="shared" si="51"/>
        <v>80659.308727176962</v>
      </c>
      <c r="AU14" s="3">
        <f t="shared" si="51"/>
        <v>81465.901814448735</v>
      </c>
      <c r="AV14" s="3">
        <f t="shared" si="51"/>
        <v>82280.560832593226</v>
      </c>
      <c r="AW14" s="3">
        <f t="shared" si="51"/>
        <v>83103.366440919155</v>
      </c>
      <c r="AX14" s="3">
        <f t="shared" si="51"/>
        <v>83934.400105328343</v>
      </c>
      <c r="AY14" s="3">
        <f t="shared" si="51"/>
        <v>84773.744106381622</v>
      </c>
      <c r="AZ14" s="3">
        <f t="shared" si="51"/>
        <v>85621.481547445437</v>
      </c>
      <c r="BA14" s="3">
        <f t="shared" si="51"/>
        <v>86477.696362919887</v>
      </c>
      <c r="BB14" s="3">
        <f t="shared" si="51"/>
        <v>87342.473326549094</v>
      </c>
      <c r="BC14" s="3">
        <f t="shared" si="51"/>
        <v>88215.898059814586</v>
      </c>
      <c r="BD14" s="3">
        <f t="shared" si="51"/>
        <v>89098.057040412736</v>
      </c>
      <c r="BE14" s="3">
        <f t="shared" si="51"/>
        <v>89989.037610816857</v>
      </c>
      <c r="BF14" s="3">
        <f t="shared" ref="BF14:CK14" si="52">BE14*(1+$AB$17)</f>
        <v>90888.927986925031</v>
      </c>
      <c r="BG14" s="3">
        <f t="shared" si="52"/>
        <v>91797.817266794285</v>
      </c>
      <c r="BH14" s="3">
        <f t="shared" si="52"/>
        <v>92715.795439462236</v>
      </c>
      <c r="BI14" s="3">
        <f t="shared" si="52"/>
        <v>93642.953393856864</v>
      </c>
      <c r="BJ14" s="3">
        <f t="shared" si="52"/>
        <v>94579.382927795436</v>
      </c>
      <c r="BK14" s="3">
        <f t="shared" si="52"/>
        <v>95525.176757073394</v>
      </c>
      <c r="BL14" s="3">
        <f t="shared" si="52"/>
        <v>96480.428524644129</v>
      </c>
      <c r="BM14" s="3">
        <f t="shared" si="52"/>
        <v>97445.232809890571</v>
      </c>
      <c r="BN14" s="3">
        <f t="shared" si="52"/>
        <v>98419.68513798948</v>
      </c>
      <c r="BO14" s="3">
        <f t="shared" si="52"/>
        <v>99403.881989369373</v>
      </c>
      <c r="BP14" s="3">
        <f t="shared" si="52"/>
        <v>100397.92080926307</v>
      </c>
      <c r="BQ14" s="3">
        <f t="shared" si="52"/>
        <v>101401.9000173557</v>
      </c>
      <c r="BR14" s="3">
        <f t="shared" si="52"/>
        <v>102415.91901752926</v>
      </c>
      <c r="BS14" s="3">
        <f t="shared" si="52"/>
        <v>103440.07820770456</v>
      </c>
      <c r="BT14" s="3">
        <f t="shared" si="52"/>
        <v>104474.47898978161</v>
      </c>
      <c r="BU14" s="3">
        <f t="shared" si="52"/>
        <v>105519.22377967942</v>
      </c>
      <c r="BV14" s="3">
        <f t="shared" si="52"/>
        <v>106574.41601747622</v>
      </c>
      <c r="BW14" s="3">
        <f t="shared" si="52"/>
        <v>107640.16017765098</v>
      </c>
      <c r="BX14" s="3">
        <f t="shared" si="52"/>
        <v>108716.56177942749</v>
      </c>
      <c r="BY14" s="3">
        <f t="shared" si="52"/>
        <v>109803.72739722177</v>
      </c>
      <c r="BZ14" s="3">
        <f t="shared" si="52"/>
        <v>110901.76467119399</v>
      </c>
      <c r="CA14" s="3">
        <f t="shared" si="52"/>
        <v>112010.78231790593</v>
      </c>
      <c r="CB14" s="3">
        <f t="shared" si="52"/>
        <v>113130.89014108499</v>
      </c>
      <c r="CC14" s="3">
        <f t="shared" si="52"/>
        <v>114262.19904249585</v>
      </c>
      <c r="CD14" s="3">
        <f t="shared" si="52"/>
        <v>115404.82103292081</v>
      </c>
      <c r="CE14" s="3">
        <f t="shared" si="52"/>
        <v>116558.86924325002</v>
      </c>
      <c r="CF14" s="3">
        <f t="shared" si="52"/>
        <v>117724.45793568253</v>
      </c>
      <c r="CG14" s="3">
        <f t="shared" si="52"/>
        <v>118901.70251503936</v>
      </c>
      <c r="CH14" s="3">
        <f t="shared" si="52"/>
        <v>120090.71954018975</v>
      </c>
      <c r="CI14" s="3">
        <f t="shared" si="52"/>
        <v>121291.62673559165</v>
      </c>
      <c r="CJ14" s="3">
        <f t="shared" si="52"/>
        <v>122504.54300294757</v>
      </c>
      <c r="CK14" s="3">
        <f t="shared" si="52"/>
        <v>123729.58843297705</v>
      </c>
      <c r="CL14" s="3">
        <f t="shared" ref="CL14:DG14" si="53">CK14*(1+$AB$17)</f>
        <v>124966.88431730682</v>
      </c>
      <c r="CM14" s="3">
        <f t="shared" si="53"/>
        <v>126216.55316047989</v>
      </c>
      <c r="CN14" s="3">
        <f t="shared" si="53"/>
        <v>127478.71869208469</v>
      </c>
      <c r="CO14" s="3">
        <f t="shared" si="53"/>
        <v>128753.50587900553</v>
      </c>
      <c r="CP14" s="3">
        <f t="shared" si="53"/>
        <v>130041.04093779559</v>
      </c>
      <c r="CQ14" s="3">
        <f t="shared" si="53"/>
        <v>131341.45134717354</v>
      </c>
      <c r="CR14" s="3">
        <f t="shared" si="53"/>
        <v>132654.86586064528</v>
      </c>
      <c r="CS14" s="3">
        <f t="shared" si="53"/>
        <v>133981.41451925173</v>
      </c>
      <c r="CT14" s="3">
        <f t="shared" si="53"/>
        <v>135321.22866444426</v>
      </c>
      <c r="CU14" s="3">
        <f t="shared" si="53"/>
        <v>136674.44095108871</v>
      </c>
      <c r="CV14" s="3">
        <f t="shared" si="53"/>
        <v>138041.1853605996</v>
      </c>
      <c r="CW14" s="3">
        <f t="shared" si="53"/>
        <v>139421.5972142056</v>
      </c>
      <c r="CX14" s="3">
        <f t="shared" si="53"/>
        <v>140815.81318634766</v>
      </c>
      <c r="CY14" s="3">
        <f t="shared" si="53"/>
        <v>142223.97131821114</v>
      </c>
      <c r="CZ14" s="3">
        <f t="shared" si="53"/>
        <v>143646.21103139326</v>
      </c>
      <c r="DA14" s="3">
        <f t="shared" si="53"/>
        <v>145082.6731417072</v>
      </c>
      <c r="DB14" s="3">
        <f t="shared" si="53"/>
        <v>146533.49987312427</v>
      </c>
      <c r="DC14" s="3">
        <f t="shared" si="53"/>
        <v>147998.83487185551</v>
      </c>
      <c r="DD14" s="3">
        <f t="shared" si="53"/>
        <v>149478.82322057406</v>
      </c>
      <c r="DE14" s="3">
        <f t="shared" si="53"/>
        <v>150973.61145277982</v>
      </c>
      <c r="DF14" s="3">
        <f t="shared" si="53"/>
        <v>152483.34756730762</v>
      </c>
      <c r="DG14" s="3">
        <f t="shared" si="53"/>
        <v>154008.18104298069</v>
      </c>
    </row>
    <row r="15" spans="1:111" x14ac:dyDescent="0.2">
      <c r="A15" s="1" t="s">
        <v>2</v>
      </c>
      <c r="B15" s="1">
        <f>2045+246+9</f>
        <v>2300</v>
      </c>
      <c r="F15" s="1">
        <f>1985+5+120+10</f>
        <v>2120</v>
      </c>
      <c r="G15" s="1">
        <f>1985+5+120+10</f>
        <v>2120</v>
      </c>
      <c r="H15" s="1">
        <f>1985+5+120+10</f>
        <v>2120</v>
      </c>
      <c r="I15" s="1">
        <f>1985+5+120+10</f>
        <v>2120</v>
      </c>
    </row>
    <row r="16" spans="1:111" x14ac:dyDescent="0.2">
      <c r="A16" s="1" t="s">
        <v>31</v>
      </c>
      <c r="B16" s="4">
        <f>B14/B15</f>
        <v>2.13</v>
      </c>
      <c r="C16" s="4"/>
      <c r="D16" s="4"/>
      <c r="E16" s="4"/>
      <c r="F16" s="4">
        <f t="shared" ref="F16" si="54">F14/F15</f>
        <v>2.435377358490566</v>
      </c>
      <c r="G16" s="4">
        <f t="shared" ref="G16" si="55">G14/G15</f>
        <v>2.5648596771226417</v>
      </c>
      <c r="H16" s="4">
        <f t="shared" ref="H16" si="56">H14/H15</f>
        <v>2.7300961343207022</v>
      </c>
      <c r="I16" s="4">
        <f t="shared" ref="I16" si="57">I14/I15</f>
        <v>2.9042649368496658</v>
      </c>
      <c r="AA16" s="1" t="s">
        <v>13</v>
      </c>
      <c r="AB16" s="5">
        <v>0.06</v>
      </c>
    </row>
    <row r="17" spans="1:118" x14ac:dyDescent="0.2">
      <c r="AA17" s="1" t="s">
        <v>14</v>
      </c>
      <c r="AB17" s="5">
        <v>0.01</v>
      </c>
    </row>
    <row r="18" spans="1:118" s="3" customFormat="1" ht="15" x14ac:dyDescent="0.25">
      <c r="A18" s="3" t="s">
        <v>32</v>
      </c>
      <c r="F18" s="6">
        <f>F14/B14-1</f>
        <v>5.3888548683404869E-2</v>
      </c>
      <c r="G18" s="6" t="e">
        <f t="shared" ref="G18:I18" si="58">G14/C14-1</f>
        <v>#DIV/0!</v>
      </c>
      <c r="H18" s="6" t="e">
        <f t="shared" si="58"/>
        <v>#DIV/0!</v>
      </c>
      <c r="I18" s="6" t="e">
        <f t="shared" si="58"/>
        <v>#DIV/0!</v>
      </c>
      <c r="N18" s="6">
        <f>N2/M2-1</f>
        <v>0.11405663596042315</v>
      </c>
      <c r="O18" s="6">
        <f>O2/N2-1</f>
        <v>0.13086087036413185</v>
      </c>
      <c r="P18" s="6">
        <f t="shared" ref="P18:T18" si="59">P2/O2-1</f>
        <v>0.11003869224936369</v>
      </c>
      <c r="Q18" s="6">
        <f t="shared" si="59"/>
        <v>0.10000000000000009</v>
      </c>
      <c r="R18" s="6">
        <f t="shared" si="59"/>
        <v>0.10000000000000009</v>
      </c>
      <c r="S18" s="6">
        <f t="shared" si="59"/>
        <v>0.10000000000000009</v>
      </c>
      <c r="T18" s="6">
        <f t="shared" si="59"/>
        <v>0.10000000000000009</v>
      </c>
      <c r="U18" s="6">
        <f t="shared" ref="U18:Y18" si="60">U2/T2-1</f>
        <v>7.0000000000000062E-2</v>
      </c>
      <c r="V18" s="6">
        <f t="shared" si="60"/>
        <v>7.0000000000000062E-2</v>
      </c>
      <c r="W18" s="6">
        <f t="shared" si="60"/>
        <v>7.0000000000000062E-2</v>
      </c>
      <c r="X18" s="6">
        <f t="shared" si="60"/>
        <v>7.0000000000000062E-2</v>
      </c>
      <c r="Y18" s="6">
        <f t="shared" si="60"/>
        <v>7.0000000000000062E-2</v>
      </c>
      <c r="AA18" s="1" t="s">
        <v>15</v>
      </c>
      <c r="AB18" s="5">
        <v>0.08</v>
      </c>
    </row>
    <row r="19" spans="1:118" x14ac:dyDescent="0.2">
      <c r="A19" s="1" t="s">
        <v>33</v>
      </c>
      <c r="F19" s="7">
        <f>F13/F12</f>
        <v>0.17312620115310698</v>
      </c>
      <c r="G19" s="7">
        <v>0.17</v>
      </c>
      <c r="H19" s="7">
        <v>0.17</v>
      </c>
      <c r="I19" s="7">
        <v>0.17</v>
      </c>
      <c r="M19" s="7">
        <f>M13/M12</f>
        <v>0.1672805725110503</v>
      </c>
      <c r="N19" s="7">
        <f t="shared" ref="N19:O19" si="61">N13/N12</f>
        <v>0.17137133491167364</v>
      </c>
      <c r="O19" s="7">
        <f t="shared" si="61"/>
        <v>0.16443376152573094</v>
      </c>
      <c r="P19" s="7">
        <v>0.17</v>
      </c>
      <c r="Q19" s="7">
        <v>0.19</v>
      </c>
      <c r="R19" s="7">
        <v>0.19</v>
      </c>
      <c r="S19" s="7">
        <v>0.19</v>
      </c>
      <c r="T19" s="7">
        <v>0.19</v>
      </c>
      <c r="U19" s="7">
        <v>0.19</v>
      </c>
      <c r="V19" s="7">
        <v>0.19</v>
      </c>
      <c r="W19" s="7">
        <v>0.19</v>
      </c>
      <c r="X19" s="7">
        <v>0.19</v>
      </c>
      <c r="Y19" s="7">
        <v>0.19</v>
      </c>
      <c r="AA19" s="1" t="s">
        <v>16</v>
      </c>
      <c r="AB19" s="1">
        <f>NPV(AB18,P26:XFD26)+Sheet1!D5-Sheet1!D6</f>
        <v>625273.14959949919</v>
      </c>
    </row>
    <row r="20" spans="1:118" x14ac:dyDescent="0.2"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AA20" s="1" t="s">
        <v>1</v>
      </c>
      <c r="AB20" s="1">
        <f>AB19/Sheet1!D3</f>
        <v>336.57188435570561</v>
      </c>
    </row>
    <row r="21" spans="1:118" x14ac:dyDescent="0.2">
      <c r="A21" s="1" t="s">
        <v>34</v>
      </c>
      <c r="F21" s="8">
        <f>F10/F2</f>
        <v>0.66014721345951632</v>
      </c>
      <c r="G21" s="8">
        <f>F21*1.0015</f>
        <v>0.66113743427970562</v>
      </c>
      <c r="H21" s="8">
        <f t="shared" ref="H21:I21" si="62">G21*1.0015</f>
        <v>0.66212914043112525</v>
      </c>
      <c r="I21" s="8">
        <f t="shared" si="62"/>
        <v>0.66312233414177202</v>
      </c>
      <c r="M21" s="8">
        <f>M10/M2</f>
        <v>0.67147731149778234</v>
      </c>
      <c r="N21" s="8">
        <f t="shared" ref="N21:O21" si="63">N10/N2</f>
        <v>0.67151563409181392</v>
      </c>
      <c r="O21" s="8">
        <f t="shared" si="63"/>
        <v>0.67857336294210047</v>
      </c>
      <c r="P21" s="8">
        <f>O21*1.005</f>
        <v>0.68196622975681087</v>
      </c>
      <c r="Q21" s="8">
        <f t="shared" ref="Q21:Y21" si="64">P21*1.005</f>
        <v>0.68537606090559489</v>
      </c>
      <c r="R21" s="8">
        <f t="shared" si="64"/>
        <v>0.68880294121012275</v>
      </c>
      <c r="S21" s="8">
        <f t="shared" si="64"/>
        <v>0.69224695591617325</v>
      </c>
      <c r="T21" s="8">
        <f t="shared" si="64"/>
        <v>0.69570819069575407</v>
      </c>
      <c r="U21" s="8">
        <f t="shared" si="64"/>
        <v>0.69918673164923273</v>
      </c>
      <c r="V21" s="8">
        <f t="shared" si="64"/>
        <v>0.7026826653074788</v>
      </c>
      <c r="W21" s="8">
        <f t="shared" si="64"/>
        <v>0.70619607863401612</v>
      </c>
      <c r="X21" s="8">
        <f t="shared" si="64"/>
        <v>0.70972705902718614</v>
      </c>
      <c r="Y21" s="8">
        <f t="shared" si="64"/>
        <v>0.71327569432232196</v>
      </c>
      <c r="AA21" s="1" t="s">
        <v>17</v>
      </c>
      <c r="AB21" s="7">
        <f>AB20/Sheet1!D2-1</f>
        <v>-7.0243413382028663E-2</v>
      </c>
    </row>
    <row r="22" spans="1:118" x14ac:dyDescent="0.2">
      <c r="A22" s="1" t="s">
        <v>35</v>
      </c>
      <c r="F22" s="7">
        <f t="shared" ref="F22:I22" si="65">F26/F2</f>
        <v>0</v>
      </c>
      <c r="G22" s="7">
        <f t="shared" si="65"/>
        <v>0</v>
      </c>
      <c r="H22" s="7">
        <f t="shared" si="65"/>
        <v>0</v>
      </c>
      <c r="I22" s="7">
        <f t="shared" si="65"/>
        <v>0</v>
      </c>
      <c r="M22" s="7">
        <f>M26/M2</f>
        <v>0.60999658819515523</v>
      </c>
      <c r="N22" s="7">
        <f t="shared" ref="N22:Y22" si="66">N26/N2</f>
        <v>0.60319113098337063</v>
      </c>
      <c r="O22" s="7">
        <f t="shared" si="66"/>
        <v>0.50622867356334289</v>
      </c>
      <c r="P22" s="7">
        <f t="shared" si="66"/>
        <v>0.49545580826266616</v>
      </c>
      <c r="Q22" s="7">
        <f t="shared" si="66"/>
        <v>0.51323056214869034</v>
      </c>
      <c r="R22" s="7">
        <f t="shared" si="66"/>
        <v>0.53716863420485039</v>
      </c>
      <c r="S22" s="7">
        <f t="shared" si="66"/>
        <v>0.56022774512200557</v>
      </c>
      <c r="T22" s="7">
        <f t="shared" si="66"/>
        <v>0.58245016435542718</v>
      </c>
      <c r="U22" s="7">
        <f t="shared" si="66"/>
        <v>0.60651644636845525</v>
      </c>
      <c r="V22" s="7">
        <f t="shared" si="66"/>
        <v>0.6302799791677236</v>
      </c>
      <c r="W22" s="7">
        <f t="shared" si="66"/>
        <v>0.65374771061963965</v>
      </c>
      <c r="X22" s="7">
        <f t="shared" si="66"/>
        <v>0.67692645409769392</v>
      </c>
      <c r="Y22" s="7">
        <f t="shared" si="66"/>
        <v>0.69982289119463925</v>
      </c>
    </row>
    <row r="24" spans="1:118" x14ac:dyDescent="0.2">
      <c r="A24" s="1" t="s">
        <v>36</v>
      </c>
      <c r="M24" s="1">
        <v>18849</v>
      </c>
      <c r="N24" s="1">
        <v>20755</v>
      </c>
      <c r="O24" s="1">
        <v>19950</v>
      </c>
      <c r="P24" s="1">
        <f>N24*(1+P18)</f>
        <v>23038.853057635544</v>
      </c>
      <c r="Q24" s="1">
        <f t="shared" ref="Q24:Y24" si="67">O24*(1+Q18)</f>
        <v>21945</v>
      </c>
      <c r="R24" s="1">
        <f t="shared" si="67"/>
        <v>25342.738363399101</v>
      </c>
      <c r="S24" s="1">
        <f t="shared" si="67"/>
        <v>24139.500000000004</v>
      </c>
      <c r="T24" s="1">
        <f t="shared" si="67"/>
        <v>27877.012199739012</v>
      </c>
      <c r="U24" s="1">
        <f t="shared" si="67"/>
        <v>25829.265000000007</v>
      </c>
      <c r="V24" s="1">
        <f t="shared" si="67"/>
        <v>29828.403053720744</v>
      </c>
      <c r="W24" s="1">
        <f t="shared" si="67"/>
        <v>27637.31355000001</v>
      </c>
      <c r="X24" s="1">
        <f t="shared" si="67"/>
        <v>31916.391267481198</v>
      </c>
      <c r="Y24" s="1">
        <f t="shared" si="67"/>
        <v>29571.925498500012</v>
      </c>
    </row>
    <row r="25" spans="1:118" x14ac:dyDescent="0.2">
      <c r="A25" s="1" t="s">
        <v>37</v>
      </c>
      <c r="M25" s="1">
        <v>970</v>
      </c>
      <c r="N25" s="1">
        <v>1059</v>
      </c>
      <c r="O25" s="1">
        <v>1257</v>
      </c>
      <c r="P25" s="1">
        <f>N25*(1+P18)</f>
        <v>1175.5309750920762</v>
      </c>
      <c r="Q25" s="1">
        <f t="shared" ref="Q25:Y25" si="68">O25*(1+Q18)</f>
        <v>1382.7</v>
      </c>
      <c r="R25" s="1">
        <f t="shared" si="68"/>
        <v>1293.0840726012839</v>
      </c>
      <c r="S25" s="1">
        <f t="shared" si="68"/>
        <v>1520.9700000000003</v>
      </c>
      <c r="T25" s="1">
        <f t="shared" si="68"/>
        <v>1422.3924798614123</v>
      </c>
      <c r="U25" s="1">
        <f t="shared" si="68"/>
        <v>1627.4379000000004</v>
      </c>
      <c r="V25" s="1">
        <f t="shared" si="68"/>
        <v>1521.9599534517113</v>
      </c>
      <c r="W25" s="1">
        <f t="shared" si="68"/>
        <v>1741.3585530000005</v>
      </c>
      <c r="X25" s="1">
        <f t="shared" si="68"/>
        <v>1628.4971501933312</v>
      </c>
      <c r="Y25" s="1">
        <f t="shared" si="68"/>
        <v>1863.2536517100007</v>
      </c>
    </row>
    <row r="26" spans="1:118" s="3" customFormat="1" ht="15" x14ac:dyDescent="0.25">
      <c r="A26" s="3" t="s">
        <v>38</v>
      </c>
      <c r="M26" s="3">
        <f>M24-M25</f>
        <v>17879</v>
      </c>
      <c r="N26" s="3">
        <f t="shared" ref="N26:O26" si="69">N24-N25</f>
        <v>19696</v>
      </c>
      <c r="O26" s="3">
        <f t="shared" si="69"/>
        <v>18693</v>
      </c>
      <c r="P26" s="3">
        <f>P27*P14</f>
        <v>20308.38118774306</v>
      </c>
      <c r="Q26" s="3">
        <f t="shared" ref="Q26:Y26" si="70">Q27*Q14</f>
        <v>23140.651277961242</v>
      </c>
      <c r="R26" s="3">
        <f t="shared" si="70"/>
        <v>26641.97390838755</v>
      </c>
      <c r="S26" s="3">
        <f t="shared" si="70"/>
        <v>30564.20129486507</v>
      </c>
      <c r="T26" s="3">
        <f t="shared" si="70"/>
        <v>34954.242528778297</v>
      </c>
      <c r="U26" s="3">
        <f t="shared" si="70"/>
        <v>38946.414577191237</v>
      </c>
      <c r="V26" s="3">
        <f t="shared" si="70"/>
        <v>43305.413565322167</v>
      </c>
      <c r="W26" s="3">
        <f t="shared" si="70"/>
        <v>48062.088318386093</v>
      </c>
      <c r="X26" s="3">
        <f t="shared" si="70"/>
        <v>53249.768049561964</v>
      </c>
      <c r="Y26" s="3">
        <f t="shared" si="70"/>
        <v>58904.456835374258</v>
      </c>
      <c r="Z26" s="3">
        <f>Y26*(1+$AB$17)</f>
        <v>59493.501403727998</v>
      </c>
      <c r="AA26" s="3">
        <f t="shared" ref="AA26:CL26" si="71">Z26*(1+$AB$17)</f>
        <v>60088.436417765275</v>
      </c>
      <c r="AB26" s="3">
        <f t="shared" si="71"/>
        <v>60689.32078194293</v>
      </c>
      <c r="AC26" s="3">
        <f t="shared" si="71"/>
        <v>61296.213989762357</v>
      </c>
      <c r="AD26" s="3">
        <f t="shared" si="71"/>
        <v>61909.17612965998</v>
      </c>
      <c r="AE26" s="3">
        <f t="shared" si="71"/>
        <v>62528.26789095658</v>
      </c>
      <c r="AF26" s="3">
        <f t="shared" si="71"/>
        <v>63153.550569866144</v>
      </c>
      <c r="AG26" s="3">
        <f t="shared" si="71"/>
        <v>63785.086075564803</v>
      </c>
      <c r="AH26" s="3">
        <f t="shared" si="71"/>
        <v>64422.936936320453</v>
      </c>
      <c r="AI26" s="3">
        <f t="shared" si="71"/>
        <v>65067.166305683655</v>
      </c>
      <c r="AJ26" s="3">
        <f t="shared" si="71"/>
        <v>65717.837968740496</v>
      </c>
      <c r="AK26" s="3">
        <f t="shared" si="71"/>
        <v>66375.016348427904</v>
      </c>
      <c r="AL26" s="3">
        <f t="shared" si="71"/>
        <v>67038.766511912181</v>
      </c>
      <c r="AM26" s="3">
        <f t="shared" si="71"/>
        <v>67709.154177031305</v>
      </c>
      <c r="AN26" s="3">
        <f t="shared" si="71"/>
        <v>68386.245718801612</v>
      </c>
      <c r="AO26" s="3">
        <f t="shared" si="71"/>
        <v>69070.108175989633</v>
      </c>
      <c r="AP26" s="3">
        <f t="shared" si="71"/>
        <v>69760.809257749526</v>
      </c>
      <c r="AQ26" s="3">
        <f t="shared" si="71"/>
        <v>70458.417350327029</v>
      </c>
      <c r="AR26" s="3">
        <f t="shared" si="71"/>
        <v>71163.001523830302</v>
      </c>
      <c r="AS26" s="3">
        <f t="shared" si="71"/>
        <v>71874.631539068607</v>
      </c>
      <c r="AT26" s="3">
        <f t="shared" si="71"/>
        <v>72593.377854459293</v>
      </c>
      <c r="AU26" s="3">
        <f t="shared" si="71"/>
        <v>73319.31163300389</v>
      </c>
      <c r="AV26" s="3">
        <f t="shared" si="71"/>
        <v>74052.504749333923</v>
      </c>
      <c r="AW26" s="3">
        <f t="shared" si="71"/>
        <v>74793.029796827264</v>
      </c>
      <c r="AX26" s="3">
        <f t="shared" si="71"/>
        <v>75540.960094795533</v>
      </c>
      <c r="AY26" s="3">
        <f t="shared" si="71"/>
        <v>76296.369695743488</v>
      </c>
      <c r="AZ26" s="3">
        <f t="shared" si="71"/>
        <v>77059.333392700923</v>
      </c>
      <c r="BA26" s="3">
        <f t="shared" si="71"/>
        <v>77829.926726627935</v>
      </c>
      <c r="BB26" s="3">
        <f t="shared" si="71"/>
        <v>78608.225993894215</v>
      </c>
      <c r="BC26" s="3">
        <f t="shared" si="71"/>
        <v>79394.308253833151</v>
      </c>
      <c r="BD26" s="3">
        <f t="shared" si="71"/>
        <v>80188.251336371482</v>
      </c>
      <c r="BE26" s="3">
        <f t="shared" si="71"/>
        <v>80990.133849735197</v>
      </c>
      <c r="BF26" s="3">
        <f t="shared" si="71"/>
        <v>81800.035188232549</v>
      </c>
      <c r="BG26" s="3">
        <f t="shared" si="71"/>
        <v>82618.03554011487</v>
      </c>
      <c r="BH26" s="3">
        <f t="shared" si="71"/>
        <v>83444.215895516027</v>
      </c>
      <c r="BI26" s="3">
        <f t="shared" si="71"/>
        <v>84278.658054471191</v>
      </c>
      <c r="BJ26" s="3">
        <f t="shared" si="71"/>
        <v>85121.444635015898</v>
      </c>
      <c r="BK26" s="3">
        <f t="shared" si="71"/>
        <v>85972.659081366059</v>
      </c>
      <c r="BL26" s="3">
        <f t="shared" si="71"/>
        <v>86832.38567217972</v>
      </c>
      <c r="BM26" s="3">
        <f t="shared" si="71"/>
        <v>87700.709528901512</v>
      </c>
      <c r="BN26" s="3">
        <f t="shared" si="71"/>
        <v>88577.716624190522</v>
      </c>
      <c r="BO26" s="3">
        <f t="shared" si="71"/>
        <v>89463.493790432432</v>
      </c>
      <c r="BP26" s="3">
        <f t="shared" si="71"/>
        <v>90358.128728336756</v>
      </c>
      <c r="BQ26" s="3">
        <f t="shared" si="71"/>
        <v>91261.71001562012</v>
      </c>
      <c r="BR26" s="3">
        <f t="shared" si="71"/>
        <v>92174.327115776323</v>
      </c>
      <c r="BS26" s="3">
        <f t="shared" si="71"/>
        <v>93096.070386934094</v>
      </c>
      <c r="BT26" s="3">
        <f t="shared" si="71"/>
        <v>94027.03109080343</v>
      </c>
      <c r="BU26" s="3">
        <f t="shared" si="71"/>
        <v>94967.301401711462</v>
      </c>
      <c r="BV26" s="3">
        <f t="shared" si="71"/>
        <v>95916.974415728575</v>
      </c>
      <c r="BW26" s="3">
        <f t="shared" si="71"/>
        <v>96876.144159885866</v>
      </c>
      <c r="BX26" s="3">
        <f t="shared" si="71"/>
        <v>97844.90560148473</v>
      </c>
      <c r="BY26" s="3">
        <f t="shared" si="71"/>
        <v>98823.354657499585</v>
      </c>
      <c r="BZ26" s="3">
        <f t="shared" si="71"/>
        <v>99811.588204074578</v>
      </c>
      <c r="CA26" s="3">
        <f t="shared" si="71"/>
        <v>100809.70408611532</v>
      </c>
      <c r="CB26" s="3">
        <f t="shared" si="71"/>
        <v>101817.80112697648</v>
      </c>
      <c r="CC26" s="3">
        <f t="shared" si="71"/>
        <v>102835.97913824624</v>
      </c>
      <c r="CD26" s="3">
        <f t="shared" si="71"/>
        <v>103864.33892962871</v>
      </c>
      <c r="CE26" s="3">
        <f t="shared" si="71"/>
        <v>104902.98231892499</v>
      </c>
      <c r="CF26" s="3">
        <f t="shared" si="71"/>
        <v>105952.01214211424</v>
      </c>
      <c r="CG26" s="3">
        <f t="shared" si="71"/>
        <v>107011.53226353538</v>
      </c>
      <c r="CH26" s="3">
        <f t="shared" si="71"/>
        <v>108081.64758617073</v>
      </c>
      <c r="CI26" s="3">
        <f t="shared" si="71"/>
        <v>109162.46406203244</v>
      </c>
      <c r="CJ26" s="3">
        <f t="shared" si="71"/>
        <v>110254.08870265276</v>
      </c>
      <c r="CK26" s="3">
        <f t="shared" si="71"/>
        <v>111356.62958967929</v>
      </c>
      <c r="CL26" s="3">
        <f t="shared" si="71"/>
        <v>112470.19588557607</v>
      </c>
      <c r="CM26" s="3">
        <f t="shared" ref="CM26:DN26" si="72">CL26*(1+$AB$17)</f>
        <v>113594.89784443183</v>
      </c>
      <c r="CN26" s="3">
        <f t="shared" si="72"/>
        <v>114730.84682287615</v>
      </c>
      <c r="CO26" s="3">
        <f t="shared" si="72"/>
        <v>115878.15529110491</v>
      </c>
      <c r="CP26" s="3">
        <f t="shared" si="72"/>
        <v>117036.93684401596</v>
      </c>
      <c r="CQ26" s="3">
        <f t="shared" si="72"/>
        <v>118207.30621245613</v>
      </c>
      <c r="CR26" s="3">
        <f t="shared" si="72"/>
        <v>119389.37927458069</v>
      </c>
      <c r="CS26" s="3">
        <f t="shared" si="72"/>
        <v>120583.27306732649</v>
      </c>
      <c r="CT26" s="3">
        <f t="shared" si="72"/>
        <v>121789.10579799976</v>
      </c>
      <c r="CU26" s="3">
        <f t="shared" si="72"/>
        <v>123006.99685597976</v>
      </c>
      <c r="CV26" s="3">
        <f t="shared" si="72"/>
        <v>124237.06682453955</v>
      </c>
      <c r="CW26" s="3">
        <f t="shared" si="72"/>
        <v>125479.43749278494</v>
      </c>
      <c r="CX26" s="3">
        <f t="shared" si="72"/>
        <v>126734.23186771279</v>
      </c>
      <c r="CY26" s="3">
        <f t="shared" si="72"/>
        <v>128001.57418638992</v>
      </c>
      <c r="CZ26" s="3">
        <f t="shared" si="72"/>
        <v>129281.58992825382</v>
      </c>
      <c r="DA26" s="3">
        <f t="shared" si="72"/>
        <v>130574.40582753635</v>
      </c>
      <c r="DB26" s="3">
        <f t="shared" si="72"/>
        <v>131880.14988581173</v>
      </c>
      <c r="DC26" s="3">
        <f t="shared" si="72"/>
        <v>133198.95138466984</v>
      </c>
      <c r="DD26" s="3">
        <f t="shared" si="72"/>
        <v>134530.94089851654</v>
      </c>
      <c r="DE26" s="3">
        <f t="shared" si="72"/>
        <v>135876.2503075017</v>
      </c>
      <c r="DF26" s="3">
        <f t="shared" si="72"/>
        <v>137235.01281057671</v>
      </c>
      <c r="DG26" s="3">
        <f t="shared" si="72"/>
        <v>138607.36293868246</v>
      </c>
      <c r="DH26" s="3">
        <f t="shared" si="72"/>
        <v>139993.4365680693</v>
      </c>
      <c r="DI26" s="3">
        <f t="shared" si="72"/>
        <v>141393.37093375</v>
      </c>
      <c r="DJ26" s="3">
        <f t="shared" si="72"/>
        <v>142807.3046430875</v>
      </c>
      <c r="DK26" s="3">
        <f t="shared" si="72"/>
        <v>144235.37768951838</v>
      </c>
      <c r="DL26" s="3">
        <f t="shared" si="72"/>
        <v>145677.73146641356</v>
      </c>
      <c r="DM26" s="3">
        <f t="shared" si="72"/>
        <v>147134.50878107769</v>
      </c>
      <c r="DN26" s="3">
        <f t="shared" si="72"/>
        <v>148605.85386888846</v>
      </c>
    </row>
    <row r="27" spans="1:118" x14ac:dyDescent="0.2">
      <c r="M27" s="7">
        <f>M26/M14</f>
        <v>1.1297946287519747</v>
      </c>
      <c r="N27" s="7">
        <f t="shared" ref="N27:O27" si="73">N26/N14</f>
        <v>1.0821978021978023</v>
      </c>
      <c r="O27" s="7">
        <f t="shared" si="73"/>
        <v>0.88153737326102333</v>
      </c>
      <c r="P27" s="7">
        <v>0.9</v>
      </c>
      <c r="Q27" s="7">
        <v>0.9</v>
      </c>
      <c r="R27" s="7">
        <v>0.9</v>
      </c>
      <c r="S27" s="7">
        <v>0.9</v>
      </c>
      <c r="T27" s="7">
        <v>0.9</v>
      </c>
      <c r="U27" s="7">
        <v>0.9</v>
      </c>
      <c r="V27" s="7">
        <v>0.9</v>
      </c>
      <c r="W27" s="7">
        <v>0.9</v>
      </c>
      <c r="X27" s="7">
        <v>0.9</v>
      </c>
      <c r="Y27" s="7">
        <v>0.9</v>
      </c>
    </row>
    <row r="28" spans="1:118" x14ac:dyDescent="0.2">
      <c r="A28" s="1" t="s">
        <v>39</v>
      </c>
      <c r="F28" s="1">
        <f>F30-F32</f>
        <v>-3372</v>
      </c>
      <c r="G28" s="1">
        <f>F28+G14</f>
        <v>2065.5025155000003</v>
      </c>
      <c r="H28" s="1">
        <f t="shared" ref="H28:I28" si="74">G28+H14</f>
        <v>7853.3063202598887</v>
      </c>
      <c r="I28" s="1">
        <f t="shared" si="74"/>
        <v>14010.347986381181</v>
      </c>
      <c r="M28" s="7"/>
      <c r="P28" s="1">
        <f>I28</f>
        <v>14010.347986381181</v>
      </c>
      <c r="Q28" s="1">
        <f>P28+Q14</f>
        <v>39722.182739671451</v>
      </c>
      <c r="R28" s="1">
        <f t="shared" ref="R28:Y28" si="75">Q28+R14</f>
        <v>69324.375971213172</v>
      </c>
      <c r="S28" s="1">
        <f t="shared" si="75"/>
        <v>103284.59963217436</v>
      </c>
      <c r="T28" s="1">
        <f t="shared" si="75"/>
        <v>142122.64688637247</v>
      </c>
      <c r="U28" s="1">
        <f t="shared" si="75"/>
        <v>185396.4408610294</v>
      </c>
      <c r="V28" s="1">
        <f t="shared" si="75"/>
        <v>233513.56704472069</v>
      </c>
      <c r="W28" s="1">
        <f t="shared" si="75"/>
        <v>286915.887398483</v>
      </c>
      <c r="X28" s="1">
        <f t="shared" si="75"/>
        <v>346082.29634244076</v>
      </c>
      <c r="Y28" s="1">
        <f t="shared" si="75"/>
        <v>411531.69282618992</v>
      </c>
    </row>
    <row r="30" spans="1:118" x14ac:dyDescent="0.2">
      <c r="A30" s="1" t="s">
        <v>4</v>
      </c>
      <c r="F30" s="1">
        <f>12367+3112+1967+3683</f>
        <v>21129</v>
      </c>
    </row>
    <row r="32" spans="1:118" x14ac:dyDescent="0.2">
      <c r="A32" s="1" t="s">
        <v>5</v>
      </c>
      <c r="F32" s="1">
        <f>16680+5192+2629</f>
        <v>24501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2025-04-28T03:54:27Z</dcterms:created>
  <dcterms:modified xsi:type="dcterms:W3CDTF">2025-05-29T22:20:40Z</dcterms:modified>
</cp:coreProperties>
</file>