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FAEDFE33-B29C-432E-B886-8616BC4350AD}" xr6:coauthVersionLast="47" xr6:coauthVersionMax="47" xr10:uidLastSave="{00000000-0000-0000-0000-000000000000}"/>
  <bookViews>
    <workbookView xWindow="3345" yWindow="165" windowWidth="22125" windowHeight="14595" activeTab="1" xr2:uid="{83ED8510-C560-4055-98B8-98F2B5E35FF5}"/>
  </bookViews>
  <sheets>
    <sheet name="Main" sheetId="1" r:id="rId1"/>
    <sheet name="Model" sheetId="2" r:id="rId2"/>
    <sheet name="golcadomide" sheetId="3" r:id="rId3"/>
    <sheet name="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2" l="1"/>
  <c r="E26" i="3"/>
  <c r="G22" i="3"/>
  <c r="H22" i="3"/>
  <c r="I22" i="3"/>
  <c r="J22" i="3"/>
  <c r="K22" i="3"/>
  <c r="L22" i="3"/>
  <c r="M22" i="3"/>
  <c r="N22" i="3"/>
  <c r="O22" i="3"/>
  <c r="P22" i="3"/>
  <c r="Q22" i="3"/>
  <c r="F22" i="3"/>
  <c r="N18" i="3"/>
  <c r="O18" i="3" s="1"/>
  <c r="P18" i="3" s="1"/>
  <c r="Q18" i="3" s="1"/>
  <c r="N19" i="3"/>
  <c r="O19" i="3" s="1"/>
  <c r="N20" i="3"/>
  <c r="E24" i="3"/>
  <c r="F24" i="3"/>
  <c r="G24" i="3"/>
  <c r="H24" i="3" s="1"/>
  <c r="I24" i="3" s="1"/>
  <c r="J24" i="3" s="1"/>
  <c r="K24" i="3" s="1"/>
  <c r="L24" i="3" l="1"/>
  <c r="M24" i="3" s="1"/>
  <c r="N24" i="3"/>
  <c r="P19" i="3"/>
  <c r="O20" i="3"/>
  <c r="O24" i="3" s="1"/>
  <c r="D22" i="3"/>
  <c r="E22" i="3"/>
  <c r="C22" i="3"/>
  <c r="E20" i="3"/>
  <c r="F20" i="3"/>
  <c r="G20" i="3"/>
  <c r="H20" i="3"/>
  <c r="I20" i="3"/>
  <c r="J20" i="3"/>
  <c r="K20" i="3"/>
  <c r="L20" i="3"/>
  <c r="M20" i="3"/>
  <c r="D20" i="3"/>
  <c r="I19" i="3"/>
  <c r="J19" i="3" s="1"/>
  <c r="K19" i="3" s="1"/>
  <c r="L19" i="3" s="1"/>
  <c r="M19" i="3" s="1"/>
  <c r="L18" i="3"/>
  <c r="M18" i="3"/>
  <c r="I18" i="3"/>
  <c r="J18" i="3" s="1"/>
  <c r="K18" i="3" s="1"/>
  <c r="E18" i="3"/>
  <c r="F18" i="3" s="1"/>
  <c r="G18" i="3" s="1"/>
  <c r="H18" i="3" s="1"/>
  <c r="D18" i="3"/>
  <c r="E19" i="3"/>
  <c r="F19" i="3"/>
  <c r="G19" i="3"/>
  <c r="H19" i="3" s="1"/>
  <c r="D19" i="3"/>
  <c r="P20" i="3" l="1"/>
  <c r="P24" i="3" s="1"/>
  <c r="Q24" i="3" s="1"/>
  <c r="Q19" i="3"/>
  <c r="Q20" i="3" s="1"/>
  <c r="O35" i="2"/>
  <c r="I30" i="2"/>
  <c r="J30" i="2"/>
  <c r="H30" i="2"/>
  <c r="L47" i="2"/>
  <c r="M47" i="2"/>
  <c r="N47" i="2"/>
  <c r="P47" i="2"/>
  <c r="Q47" i="2"/>
  <c r="R47" i="2"/>
  <c r="S47" i="2"/>
  <c r="T47" i="2"/>
  <c r="I29" i="2"/>
  <c r="J29" i="2"/>
  <c r="H29" i="2"/>
  <c r="H39" i="2"/>
  <c r="I32" i="2"/>
  <c r="J32" i="2" s="1"/>
  <c r="H32" i="2"/>
  <c r="I19" i="2"/>
  <c r="J19" i="2"/>
  <c r="H19" i="2"/>
  <c r="I14" i="2"/>
  <c r="J14" i="2" s="1"/>
  <c r="I10" i="2"/>
  <c r="J10" i="2"/>
  <c r="I11" i="2"/>
  <c r="J11" i="2" s="1"/>
  <c r="I12" i="2"/>
  <c r="J12" i="2"/>
  <c r="I13" i="2"/>
  <c r="J13" i="2"/>
  <c r="O13" i="2" s="1"/>
  <c r="Q13" i="2" s="1"/>
  <c r="R13" i="2" s="1"/>
  <c r="S13" i="2" s="1"/>
  <c r="T13" i="2" s="1"/>
  <c r="H14" i="2"/>
  <c r="H13" i="2"/>
  <c r="H12" i="2"/>
  <c r="H11" i="2"/>
  <c r="H10" i="2"/>
  <c r="I9" i="2"/>
  <c r="J9" i="2" s="1"/>
  <c r="O9" i="2" s="1"/>
  <c r="H9" i="2"/>
  <c r="I21" i="2"/>
  <c r="J21" i="2" s="1"/>
  <c r="O21" i="2" s="1"/>
  <c r="H21" i="2"/>
  <c r="I23" i="2"/>
  <c r="J23" i="2"/>
  <c r="I24" i="2"/>
  <c r="J24" i="2" s="1"/>
  <c r="O24" i="2" s="1"/>
  <c r="I25" i="2"/>
  <c r="J25" i="2"/>
  <c r="I26" i="2"/>
  <c r="J26" i="2"/>
  <c r="H26" i="2"/>
  <c r="H25" i="2"/>
  <c r="H24" i="2"/>
  <c r="H23" i="2"/>
  <c r="I22" i="2"/>
  <c r="J22" i="2"/>
  <c r="H22" i="2"/>
  <c r="I20" i="2"/>
  <c r="J20" i="2"/>
  <c r="H20" i="2"/>
  <c r="I15" i="2"/>
  <c r="J15" i="2"/>
  <c r="H15" i="2"/>
  <c r="O15" i="2"/>
  <c r="I8" i="2"/>
  <c r="J8" i="2"/>
  <c r="H8" i="2"/>
  <c r="I7" i="2"/>
  <c r="J7" i="2" s="1"/>
  <c r="O7" i="2" s="1"/>
  <c r="H7" i="2"/>
  <c r="R7" i="2"/>
  <c r="R21" i="2"/>
  <c r="P21" i="2"/>
  <c r="Q21" i="2"/>
  <c r="Q7" i="2"/>
  <c r="P7" i="2"/>
  <c r="P8" i="2"/>
  <c r="P9" i="2"/>
  <c r="P10" i="2"/>
  <c r="P11" i="2"/>
  <c r="P12" i="2"/>
  <c r="P13" i="2"/>
  <c r="P14" i="2"/>
  <c r="Q14" i="2" s="1"/>
  <c r="R14" i="2" s="1"/>
  <c r="S14" i="2" s="1"/>
  <c r="T14" i="2" s="1"/>
  <c r="P15" i="2"/>
  <c r="Q15" i="2" s="1"/>
  <c r="R15" i="2" s="1"/>
  <c r="S15" i="2" s="1"/>
  <c r="T15" i="2" s="1"/>
  <c r="P16" i="2"/>
  <c r="P17" i="2"/>
  <c r="P18" i="2"/>
  <c r="P19" i="2"/>
  <c r="P20" i="2"/>
  <c r="P22" i="2"/>
  <c r="P23" i="2"/>
  <c r="P24" i="2"/>
  <c r="P25" i="2"/>
  <c r="P26" i="2"/>
  <c r="O8" i="2"/>
  <c r="O10" i="2"/>
  <c r="O12" i="2"/>
  <c r="Q12" i="2" s="1"/>
  <c r="R12" i="2" s="1"/>
  <c r="S12" i="2" s="1"/>
  <c r="T12" i="2" s="1"/>
  <c r="O16" i="2"/>
  <c r="Q16" i="2" s="1"/>
  <c r="R16" i="2" s="1"/>
  <c r="S16" i="2" s="1"/>
  <c r="T16" i="2" s="1"/>
  <c r="O17" i="2"/>
  <c r="Q17" i="2" s="1"/>
  <c r="R17" i="2" s="1"/>
  <c r="S17" i="2" s="1"/>
  <c r="T17" i="2" s="1"/>
  <c r="O18" i="2"/>
  <c r="Q18" i="2" s="1"/>
  <c r="R18" i="2" s="1"/>
  <c r="S18" i="2" s="1"/>
  <c r="T18" i="2" s="1"/>
  <c r="O19" i="2"/>
  <c r="Q19" i="2" s="1"/>
  <c r="R19" i="2" s="1"/>
  <c r="S19" i="2" s="1"/>
  <c r="T19" i="2" s="1"/>
  <c r="O20" i="2"/>
  <c r="O22" i="2"/>
  <c r="O23" i="2"/>
  <c r="O25" i="2"/>
  <c r="O26" i="2"/>
  <c r="Q32" i="2"/>
  <c r="R32" i="2" s="1"/>
  <c r="S32" i="2" s="1"/>
  <c r="T32" i="2" s="1"/>
  <c r="P32" i="2"/>
  <c r="Q9" i="2"/>
  <c r="R9" i="2"/>
  <c r="S9" i="2"/>
  <c r="T9" i="2"/>
  <c r="Q10" i="2"/>
  <c r="R10" i="2"/>
  <c r="S10" i="2" s="1"/>
  <c r="T10" i="2" s="1"/>
  <c r="Q24" i="2"/>
  <c r="R24" i="2" s="1"/>
  <c r="S24" i="2" s="1"/>
  <c r="T24" i="2" s="1"/>
  <c r="Q25" i="2"/>
  <c r="R25" i="2"/>
  <c r="S25" i="2"/>
  <c r="T25" i="2"/>
  <c r="Q26" i="2"/>
  <c r="R26" i="2"/>
  <c r="S26" i="2"/>
  <c r="T26" i="2"/>
  <c r="Q8" i="2"/>
  <c r="R8" i="2" s="1"/>
  <c r="S8" i="2" s="1"/>
  <c r="T8" i="2" s="1"/>
  <c r="O14" i="2" l="1"/>
  <c r="O11" i="2"/>
  <c r="Q11" i="2" s="1"/>
  <c r="R11" i="2" s="1"/>
  <c r="S11" i="2" s="1"/>
  <c r="T11" i="2" s="1"/>
  <c r="Q23" i="2"/>
  <c r="R23" i="2" s="1"/>
  <c r="S23" i="2" s="1"/>
  <c r="T23" i="2" s="1"/>
  <c r="Q22" i="2"/>
  <c r="R22" i="2" s="1"/>
  <c r="S22" i="2" s="1"/>
  <c r="T22" i="2" s="1"/>
  <c r="Q20" i="2"/>
  <c r="R20" i="2" s="1"/>
  <c r="S20" i="2" s="1"/>
  <c r="T20" i="2" s="1"/>
  <c r="P29" i="2"/>
  <c r="M27" i="2"/>
  <c r="G65" i="2"/>
  <c r="N60" i="2"/>
  <c r="M60" i="2"/>
  <c r="N68" i="2"/>
  <c r="M68" i="2"/>
  <c r="N67" i="2"/>
  <c r="M67" i="2"/>
  <c r="N66" i="2"/>
  <c r="M66" i="2"/>
  <c r="N65" i="2"/>
  <c r="M65" i="2"/>
  <c r="N64" i="2"/>
  <c r="M64" i="2"/>
  <c r="N63" i="2"/>
  <c r="M63" i="2"/>
  <c r="N59" i="2"/>
  <c r="M59" i="2"/>
  <c r="N58" i="2"/>
  <c r="M58" i="2"/>
  <c r="L61" i="2"/>
  <c r="J61" i="2"/>
  <c r="I61" i="2"/>
  <c r="H61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O30" i="2"/>
  <c r="N30" i="2"/>
  <c r="L41" i="2"/>
  <c r="L28" i="2"/>
  <c r="L27" i="2"/>
  <c r="M41" i="2"/>
  <c r="L36" i="2"/>
  <c r="L35" i="2"/>
  <c r="L34" i="2"/>
  <c r="L33" i="2"/>
  <c r="L32" i="2"/>
  <c r="L30" i="2"/>
  <c r="M36" i="2"/>
  <c r="M35" i="2"/>
  <c r="M34" i="2"/>
  <c r="M33" i="2"/>
  <c r="M32" i="2"/>
  <c r="M30" i="2"/>
  <c r="M28" i="2"/>
  <c r="Q29" i="2" l="1"/>
  <c r="N69" i="2"/>
  <c r="N61" i="2"/>
  <c r="M69" i="2"/>
  <c r="M61" i="2"/>
  <c r="N70" i="2"/>
  <c r="N71" i="2" s="1"/>
  <c r="N43" i="2"/>
  <c r="N36" i="2"/>
  <c r="N35" i="2"/>
  <c r="N34" i="2"/>
  <c r="N33" i="2"/>
  <c r="N32" i="2"/>
  <c r="M48" i="2"/>
  <c r="H48" i="2"/>
  <c r="I48" i="2"/>
  <c r="J48" i="2"/>
  <c r="C36" i="2"/>
  <c r="C35" i="2"/>
  <c r="C34" i="2"/>
  <c r="C33" i="2"/>
  <c r="C32" i="2"/>
  <c r="G48" i="2" s="1"/>
  <c r="C30" i="2"/>
  <c r="C28" i="2"/>
  <c r="C27" i="2"/>
  <c r="O27" i="2"/>
  <c r="O28" i="2"/>
  <c r="O34" i="2"/>
  <c r="O33" i="2"/>
  <c r="O32" i="2"/>
  <c r="T37" i="2" s="1"/>
  <c r="O43" i="2"/>
  <c r="P43" i="2" s="1"/>
  <c r="Q43" i="2" s="1"/>
  <c r="R43" i="2" s="1"/>
  <c r="S43" i="2" s="1"/>
  <c r="I31" i="2"/>
  <c r="I47" i="2" s="1"/>
  <c r="J31" i="2"/>
  <c r="J47" i="2" s="1"/>
  <c r="I37" i="2"/>
  <c r="N50" i="2"/>
  <c r="M50" i="2"/>
  <c r="L50" i="2"/>
  <c r="G67" i="2"/>
  <c r="G63" i="2"/>
  <c r="G59" i="2"/>
  <c r="G52" i="2"/>
  <c r="G68" i="2"/>
  <c r="G66" i="2"/>
  <c r="G64" i="2"/>
  <c r="G60" i="2"/>
  <c r="G51" i="2"/>
  <c r="M37" i="2"/>
  <c r="L37" i="2"/>
  <c r="D37" i="2"/>
  <c r="E37" i="2"/>
  <c r="F37" i="2"/>
  <c r="G37" i="2"/>
  <c r="H37" i="2"/>
  <c r="R29" i="2" l="1"/>
  <c r="N37" i="2"/>
  <c r="M70" i="2"/>
  <c r="M71" i="2" s="1"/>
  <c r="N48" i="2"/>
  <c r="G69" i="2"/>
  <c r="C37" i="2"/>
  <c r="I38" i="2"/>
  <c r="O48" i="2"/>
  <c r="Q48" i="2"/>
  <c r="S48" i="2"/>
  <c r="T48" i="2"/>
  <c r="R48" i="2"/>
  <c r="P48" i="2"/>
  <c r="Q37" i="2"/>
  <c r="P37" i="2"/>
  <c r="R37" i="2"/>
  <c r="S37" i="2"/>
  <c r="T43" i="2"/>
  <c r="G50" i="2"/>
  <c r="G61" i="2"/>
  <c r="M29" i="2"/>
  <c r="N29" i="2"/>
  <c r="P30" i="2"/>
  <c r="R30" i="2"/>
  <c r="L29" i="2"/>
  <c r="L31" i="2" s="1"/>
  <c r="D29" i="2"/>
  <c r="D31" i="2" s="1"/>
  <c r="E29" i="2"/>
  <c r="E31" i="2" s="1"/>
  <c r="F29" i="2"/>
  <c r="F31" i="2" s="1"/>
  <c r="G29" i="2"/>
  <c r="C29" i="2"/>
  <c r="C31" i="2" s="1"/>
  <c r="T29" i="2" l="1"/>
  <c r="S29" i="2"/>
  <c r="S30" i="2" s="1"/>
  <c r="C38" i="2"/>
  <c r="O29" i="2"/>
  <c r="P46" i="2" s="1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Q30" i="2"/>
  <c r="Q31" i="2" s="1"/>
  <c r="R31" i="2"/>
  <c r="R46" i="2"/>
  <c r="P31" i="2"/>
  <c r="Q46" i="2"/>
  <c r="L38" i="2"/>
  <c r="L40" i="2" s="1"/>
  <c r="L42" i="2" s="1"/>
  <c r="L43" i="2" s="1"/>
  <c r="M31" i="2"/>
  <c r="M46" i="2"/>
  <c r="N31" i="2"/>
  <c r="N46" i="2"/>
  <c r="O46" i="2"/>
  <c r="C40" i="2"/>
  <c r="C42" i="2" s="1"/>
  <c r="C43" i="2" s="1"/>
  <c r="C47" i="2"/>
  <c r="G70" i="2"/>
  <c r="G71" i="2" s="1"/>
  <c r="G31" i="2"/>
  <c r="G46" i="2"/>
  <c r="M2" i="2"/>
  <c r="N2" i="2" s="1"/>
  <c r="O2" i="2" s="1"/>
  <c r="P2" i="2" s="1"/>
  <c r="Q2" i="2" s="1"/>
  <c r="R2" i="2" s="1"/>
  <c r="S2" i="2" s="1"/>
  <c r="T2" i="2" s="1"/>
  <c r="L6" i="1"/>
  <c r="L5" i="1"/>
  <c r="L4" i="1"/>
  <c r="O31" i="2" l="1"/>
  <c r="O47" i="2" s="1"/>
  <c r="T46" i="2"/>
  <c r="S46" i="2"/>
  <c r="S31" i="2"/>
  <c r="S38" i="2" s="1"/>
  <c r="T30" i="2"/>
  <c r="T31" i="2" s="1"/>
  <c r="H38" i="2"/>
  <c r="H40" i="2" s="1"/>
  <c r="H41" i="2" s="1"/>
  <c r="H47" i="2"/>
  <c r="Q38" i="2"/>
  <c r="R38" i="2"/>
  <c r="P38" i="2"/>
  <c r="M38" i="2"/>
  <c r="M40" i="2" s="1"/>
  <c r="M42" i="2" s="1"/>
  <c r="M43" i="2" s="1"/>
  <c r="N38" i="2"/>
  <c r="N40" i="2" s="1"/>
  <c r="N42" i="2" s="1"/>
  <c r="N44" i="2" s="1"/>
  <c r="G38" i="2"/>
  <c r="G47" i="2"/>
  <c r="L7" i="1"/>
  <c r="H42" i="2" l="1"/>
  <c r="H44" i="2" s="1"/>
  <c r="T38" i="2"/>
  <c r="J37" i="2"/>
  <c r="O36" i="2"/>
  <c r="G40" i="2"/>
  <c r="H50" i="2" l="1"/>
  <c r="I39" i="2" s="1"/>
  <c r="I40" i="2" s="1"/>
  <c r="O37" i="2"/>
  <c r="J38" i="2"/>
  <c r="G42" i="2"/>
  <c r="I41" i="2" l="1"/>
  <c r="I42" i="2" s="1"/>
  <c r="O38" i="2"/>
  <c r="G44" i="2"/>
  <c r="I44" i="2" l="1"/>
  <c r="I50" i="2"/>
  <c r="J39" i="2" s="1"/>
  <c r="O39" i="2" s="1"/>
  <c r="J40" i="2" l="1"/>
  <c r="O40" i="2"/>
  <c r="J41" i="2"/>
  <c r="O41" i="2" l="1"/>
  <c r="J42" i="2"/>
  <c r="J44" i="2" l="1"/>
  <c r="J50" i="2"/>
  <c r="O50" i="2" s="1"/>
  <c r="P39" i="2" s="1"/>
  <c r="P40" i="2" s="1"/>
  <c r="P41" i="2" s="1"/>
  <c r="O42" i="2"/>
  <c r="O44" i="2" s="1"/>
  <c r="P42" i="2"/>
  <c r="P44" i="2" l="1"/>
  <c r="P50" i="2"/>
  <c r="Q39" i="2" s="1"/>
  <c r="Q40" i="2" s="1"/>
  <c r="Q41" i="2" s="1"/>
  <c r="Q42" i="2" l="1"/>
  <c r="Q44" i="2" l="1"/>
  <c r="Q50" i="2"/>
  <c r="R39" i="2" s="1"/>
  <c r="R40" i="2" s="1"/>
  <c r="R41" i="2" l="1"/>
  <c r="R42" i="2" s="1"/>
  <c r="R44" i="2" l="1"/>
  <c r="R50" i="2"/>
  <c r="S39" i="2" s="1"/>
  <c r="S40" i="2" s="1"/>
  <c r="D44" i="2"/>
  <c r="S41" i="2" l="1"/>
  <c r="S42" i="2" s="1"/>
  <c r="S44" i="2" l="1"/>
  <c r="S50" i="2"/>
  <c r="T39" i="2" s="1"/>
  <c r="T40" i="2" s="1"/>
  <c r="T41" i="2" l="1"/>
  <c r="T42" i="2" s="1"/>
  <c r="T50" i="2" l="1"/>
  <c r="T44" i="2"/>
  <c r="U42" i="2"/>
  <c r="V42" i="2" l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W51" i="2" s="1"/>
  <c r="W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<sst xmlns="http://schemas.openxmlformats.org/spreadsheetml/2006/main" count="181" uniqueCount="153">
  <si>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</si>
  <si>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</si>
  <si>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</si>
  <si>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</si>
  <si>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</si>
  <si>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</si>
  <si>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</si>
  <si>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</si>
  <si>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</si>
  <si>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</si>
  <si>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</si>
  <si>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</si>
  <si>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</si>
  <si>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</si>
  <si>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</si>
  <si>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</si>
  <si>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</si>
  <si>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</si>
  <si>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</si>
  <si>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</si>
  <si>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</si>
  <si>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</si>
  <si>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</si>
  <si>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</si>
  <si>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</si>
  <si>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</si>
  <si>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</si>
  <si>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</si>
  <si>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</si>
  <si>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</si>
  <si>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</si>
  <si>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</si>
  <si>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</si>
  <si>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</si>
  <si>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</si>
  <si>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</si>
  <si>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</si>
  <si>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</si>
  <si>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</si>
  <si>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</si>
  <si>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</si>
  <si>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</si>
  <si>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</si>
  <si>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</si>
  <si>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</si>
  <si>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</si>
  <si>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</si>
  <si>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</si>
  <si>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</si>
  <si>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</si>
  <si>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</si>
  <si>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</si>
  <si>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</si>
  <si>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</si>
  <si>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</si>
  <si>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</si>
  <si>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</si>
  <si>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</si>
  <si>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</si>
  <si>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</si>
  <si>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</si>
  <si>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</si>
  <si>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</si>
  <si>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</si>
  <si>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</si>
  <si>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</si>
  <si>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</si>
  <si>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</si>
  <si>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</si>
  <si>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</si>
  <si>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</si>
  <si>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</si>
  <si>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</si>
  <si>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</si>
  <si>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</si>
  <si>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</si>
  <si>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ario-cel</t>
  </si>
  <si>
    <t>2L+Multiple Myeloma Vd&amp;Kd</t>
  </si>
  <si>
    <t>2-4L Multiple Myeleoma</t>
  </si>
  <si>
    <t>II</t>
  </si>
  <si>
    <t>golcadomide</t>
  </si>
  <si>
    <t>High Risk 1L LBCL</t>
  </si>
  <si>
    <t>admilparant</t>
  </si>
  <si>
    <t>IPF &amp; PPF</t>
  </si>
  <si>
    <t>obexelimab</t>
  </si>
  <si>
    <t>Ig64-Related Disease</t>
  </si>
  <si>
    <t>FAAH/MAGL Dual Inhibitor</t>
  </si>
  <si>
    <t>Anti-MTBR Tau</t>
  </si>
  <si>
    <t>Alzheimer's</t>
  </si>
  <si>
    <t>MS Spasticity &amp; Alzheimer's Agitation</t>
  </si>
  <si>
    <t>MYK-224</t>
  </si>
  <si>
    <t>milvexian</t>
  </si>
  <si>
    <t>ACS &amp; AFib &amp; Secondary Stroke Prevention</t>
  </si>
  <si>
    <t>MRK</t>
  </si>
  <si>
    <t>Zenas BioPharma</t>
  </si>
  <si>
    <t>Ono</t>
  </si>
  <si>
    <t>Zai Lab</t>
  </si>
  <si>
    <t>Intravenous</t>
  </si>
  <si>
    <t>Juno Therapeutics</t>
  </si>
  <si>
    <t>CAR-T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</si>
  <si>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</si>
  <si>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</si>
  <si>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</si>
  <si>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</si>
  <si>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</si>
  <si>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</si>
  <si>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</si>
  <si>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</si>
  <si>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</si>
  <si>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</si>
  <si>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</si>
  <si>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</si>
  <si>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</si>
  <si>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</si>
  <si>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</si>
  <si>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</si>
  <si>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</si>
  <si>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</si>
  <si>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</si>
  <si>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</si>
  <si>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</si>
  <si>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</si>
  <si>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</si>
  <si>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</si>
  <si>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</si>
  <si>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</si>
  <si>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</si>
  <si>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</si>
  <si>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</si>
  <si>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</si>
  <si>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Tablet; Oral</t>
  </si>
  <si>
    <t>Eliquis (apixaban)</t>
  </si>
  <si>
    <t>Afib VTE DVT PE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</si>
  <si>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</si>
  <si>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</si>
  <si>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</si>
  <si>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</si>
  <si>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</si>
  <si>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</si>
  <si>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</si>
  <si>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</si>
  <si>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</si>
  <si>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</si>
  <si>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</si>
  <si>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Orphan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</si>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</sst>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left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21981</xdr:rowOff>
    </xdr:from>
    <xdr:to>
      <xdr:col>14</xdr:col>
      <xdr:colOff>7327</xdr:colOff>
      <xdr:row>81</xdr:row>
      <xdr:rowOff>153865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7532077" y="21981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5"/>
  <sheetViews>
    <sheetView zoomScale="115" zoomScaleNormal="115" workbookViewId="0">
      <selection activeCell="D27" sqref="D27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0.140625" customWidth="1"/>
    <col min="8" max="8" width="10.28515625" customWidth="1"/>
    <col min="9" max="10" width="4.85546875" customWidth="1"/>
  </cols>
  <sheetData>
    <row r="2" spans="2:13" x14ac:dyDescent="0.2">
      <c r="B2" s="15" t="s">
        <v>60</v>
      </c>
      <c r="C2" s="16" t="s">
        <v>0</v>
      </c>
      <c r="D2" s="16" t="s">
        <v>61</v>
      </c>
      <c r="E2" s="16" t="s">
        <v>3</v>
      </c>
      <c r="F2" s="16" t="s">
        <v>1</v>
      </c>
      <c r="G2" s="16" t="s">
        <v>62</v>
      </c>
      <c r="H2" s="17" t="s">
        <v>2</v>
      </c>
      <c r="K2" t="s">
        <v>4</v>
      </c>
      <c r="L2" s="7">
        <v>48</v>
      </c>
    </row>
    <row r="3" spans="2:13" x14ac:dyDescent="0.2">
      <c r="B3" s="23"/>
      <c r="C3" s="22"/>
      <c r="D3" s="22"/>
      <c r="E3" s="22"/>
      <c r="F3" s="22"/>
      <c r="G3" s="22"/>
      <c r="H3" s="24"/>
      <c r="K3" t="s">
        <v>5</v>
      </c>
      <c r="L3" s="1">
        <v>2035.08</v>
      </c>
      <c r="M3" t="s">
        <v>10</v>
      </c>
    </row>
    <row r="4" spans="2:13" x14ac:dyDescent="0.2">
      <c r="B4" s="23"/>
      <c r="C4" s="22"/>
      <c r="D4" s="22"/>
      <c r="E4" s="22"/>
      <c r="F4" s="22"/>
      <c r="G4" s="22"/>
      <c r="H4" s="24"/>
      <c r="K4" t="s">
        <v>6</v>
      </c>
      <c r="L4" s="1">
        <f>L3*L2</f>
        <v>97683.839999999997</v>
      </c>
    </row>
    <row r="5" spans="2:13" x14ac:dyDescent="0.2">
      <c r="B5" s="23"/>
      <c r="C5" s="22"/>
      <c r="D5" s="22"/>
      <c r="E5" s="22"/>
      <c r="F5" s="22"/>
      <c r="G5" s="22"/>
      <c r="H5" s="24"/>
      <c r="K5" t="s">
        <v>7</v>
      </c>
      <c r="L5" s="1">
        <f>10875+907</f>
        <v>11782</v>
      </c>
      <c r="M5" t="s">
        <v>10</v>
      </c>
    </row>
    <row r="6" spans="2:13" x14ac:dyDescent="0.2">
      <c r="B6" s="23"/>
      <c r="C6" s="22"/>
      <c r="D6" s="22"/>
      <c r="E6" s="22"/>
      <c r="F6" s="22"/>
      <c r="G6" s="22"/>
      <c r="H6" s="24"/>
      <c r="K6" t="s">
        <v>8</v>
      </c>
      <c r="L6" s="1">
        <f>276+46157+4477</f>
        <v>50910</v>
      </c>
      <c r="M6" t="s">
        <v>10</v>
      </c>
    </row>
    <row r="7" spans="2:13" x14ac:dyDescent="0.2">
      <c r="B7" s="23"/>
      <c r="C7" s="22"/>
      <c r="D7" s="22"/>
      <c r="E7" s="22"/>
      <c r="F7" s="22"/>
      <c r="G7" s="22"/>
      <c r="H7" s="24"/>
      <c r="K7" t="s">
        <v>9</v>
      </c>
      <c r="L7" s="1">
        <f>L4+L6-L5</f>
        <v>136811.84</v>
      </c>
    </row>
    <row r="8" spans="2:13" x14ac:dyDescent="0.2">
      <c r="B8" s="30" t="s">
        <v>145</v>
      </c>
      <c r="C8" s="22"/>
      <c r="D8" s="2">
        <v>38709</v>
      </c>
      <c r="E8" s="22"/>
      <c r="F8" s="22"/>
      <c r="G8" s="22"/>
      <c r="H8" s="24" t="s">
        <v>144</v>
      </c>
    </row>
    <row r="9" spans="2:13" x14ac:dyDescent="0.2">
      <c r="B9" s="9" t="s">
        <v>131</v>
      </c>
      <c r="C9" t="s">
        <v>132</v>
      </c>
      <c r="D9" s="2">
        <v>41271</v>
      </c>
      <c r="G9" t="s">
        <v>130</v>
      </c>
      <c r="H9" s="10"/>
      <c r="K9" t="s">
        <v>66</v>
      </c>
    </row>
    <row r="10" spans="2:13" x14ac:dyDescent="0.2">
      <c r="B10" s="9" t="s">
        <v>123</v>
      </c>
      <c r="D10" s="2">
        <v>44232</v>
      </c>
      <c r="E10" t="s">
        <v>98</v>
      </c>
      <c r="G10" t="s">
        <v>97</v>
      </c>
      <c r="H10" s="10" t="s">
        <v>99</v>
      </c>
      <c r="K10" t="s">
        <v>67</v>
      </c>
    </row>
    <row r="11" spans="2:13" x14ac:dyDescent="0.2">
      <c r="B11" s="9" t="s">
        <v>124</v>
      </c>
      <c r="D11" s="2">
        <v>44813</v>
      </c>
      <c r="H11" s="10"/>
    </row>
    <row r="12" spans="2:13" x14ac:dyDescent="0.2">
      <c r="B12" s="9" t="s">
        <v>125</v>
      </c>
      <c r="D12" s="2">
        <v>43777</v>
      </c>
      <c r="E12" t="s">
        <v>93</v>
      </c>
      <c r="H12" s="10"/>
    </row>
    <row r="13" spans="2:13" x14ac:dyDescent="0.2">
      <c r="B13" s="9" t="s">
        <v>126</v>
      </c>
      <c r="D13" s="2">
        <v>44907</v>
      </c>
      <c r="E13" t="s">
        <v>96</v>
      </c>
      <c r="H13" s="10"/>
    </row>
    <row r="14" spans="2:13" x14ac:dyDescent="0.2">
      <c r="B14" s="9" t="s">
        <v>127</v>
      </c>
      <c r="D14" s="2">
        <v>41995</v>
      </c>
      <c r="E14" t="s">
        <v>95</v>
      </c>
      <c r="H14" s="10"/>
    </row>
    <row r="15" spans="2:13" x14ac:dyDescent="0.2">
      <c r="B15" s="9" t="s">
        <v>128</v>
      </c>
      <c r="D15" s="2">
        <v>45758</v>
      </c>
      <c r="E15" t="s">
        <v>95</v>
      </c>
      <c r="H15" s="10"/>
    </row>
    <row r="16" spans="2:13" x14ac:dyDescent="0.2">
      <c r="B16" s="11" t="s">
        <v>129</v>
      </c>
      <c r="C16" s="12"/>
      <c r="D16" s="21">
        <v>45456</v>
      </c>
      <c r="E16" s="12" t="s">
        <v>96</v>
      </c>
      <c r="F16" s="12"/>
      <c r="G16" s="12"/>
      <c r="H16" s="13"/>
    </row>
    <row r="17" spans="2:8" x14ac:dyDescent="0.2">
      <c r="B17" s="18"/>
      <c r="C17" s="19"/>
      <c r="D17" s="16" t="s">
        <v>63</v>
      </c>
      <c r="E17" s="19"/>
      <c r="F17" s="19"/>
      <c r="G17" s="19"/>
      <c r="H17" s="20"/>
    </row>
    <row r="18" spans="2:8" x14ac:dyDescent="0.2">
      <c r="B18" s="9" t="s">
        <v>68</v>
      </c>
      <c r="C18" t="s">
        <v>70</v>
      </c>
      <c r="D18" s="22" t="s">
        <v>69</v>
      </c>
      <c r="H18" s="10"/>
    </row>
    <row r="19" spans="2:8" x14ac:dyDescent="0.2">
      <c r="B19" s="9" t="s">
        <v>71</v>
      </c>
      <c r="C19" t="s">
        <v>72</v>
      </c>
      <c r="D19" s="22" t="s">
        <v>69</v>
      </c>
      <c r="H19" s="10"/>
    </row>
    <row r="20" spans="2:8" x14ac:dyDescent="0.2">
      <c r="B20" s="9" t="s">
        <v>73</v>
      </c>
      <c r="C20" t="s">
        <v>74</v>
      </c>
      <c r="D20" s="22" t="s">
        <v>69</v>
      </c>
      <c r="H20" s="10"/>
    </row>
    <row r="21" spans="2:8" x14ac:dyDescent="0.2">
      <c r="B21" s="9" t="s">
        <v>75</v>
      </c>
      <c r="C21" t="s">
        <v>77</v>
      </c>
      <c r="D21" s="22" t="s">
        <v>69</v>
      </c>
      <c r="H21" s="10"/>
    </row>
    <row r="22" spans="2:8" x14ac:dyDescent="0.2">
      <c r="B22" s="9" t="s">
        <v>76</v>
      </c>
      <c r="C22" t="s">
        <v>78</v>
      </c>
      <c r="D22" s="22" t="s">
        <v>69</v>
      </c>
      <c r="H22" s="10"/>
    </row>
    <row r="23" spans="2:8" x14ac:dyDescent="0.2">
      <c r="B23" s="25" t="s">
        <v>80</v>
      </c>
      <c r="C23" t="s">
        <v>81</v>
      </c>
      <c r="D23" s="22" t="s">
        <v>69</v>
      </c>
      <c r="F23" t="s">
        <v>147</v>
      </c>
      <c r="H23" s="10" t="s">
        <v>147</v>
      </c>
    </row>
    <row r="24" spans="2:8" x14ac:dyDescent="0.2">
      <c r="B24" s="9" t="s">
        <v>82</v>
      </c>
      <c r="C24" t="s">
        <v>83</v>
      </c>
      <c r="D24" s="22" t="s">
        <v>69</v>
      </c>
      <c r="H24" s="10"/>
    </row>
    <row r="25" spans="2:8" x14ac:dyDescent="0.2">
      <c r="B25" s="9" t="s">
        <v>84</v>
      </c>
      <c r="C25" t="s">
        <v>85</v>
      </c>
      <c r="D25" s="22" t="s">
        <v>69</v>
      </c>
      <c r="E25" t="s">
        <v>94</v>
      </c>
      <c r="H25" s="10"/>
    </row>
    <row r="26" spans="2:8" x14ac:dyDescent="0.2">
      <c r="B26" s="9" t="s">
        <v>86</v>
      </c>
      <c r="C26" t="s">
        <v>89</v>
      </c>
      <c r="D26" s="22" t="s">
        <v>79</v>
      </c>
      <c r="H26" s="10"/>
    </row>
    <row r="27" spans="2:8" x14ac:dyDescent="0.2">
      <c r="B27" s="9" t="s">
        <v>87</v>
      </c>
      <c r="C27" t="s">
        <v>88</v>
      </c>
      <c r="D27" s="22" t="s">
        <v>79</v>
      </c>
      <c r="H27" s="10"/>
    </row>
    <row r="28" spans="2:8" x14ac:dyDescent="0.2">
      <c r="B28" s="9" t="s">
        <v>90</v>
      </c>
      <c r="D28" s="22" t="s">
        <v>79</v>
      </c>
      <c r="H28" s="10"/>
    </row>
    <row r="29" spans="2:8" x14ac:dyDescent="0.2">
      <c r="B29" s="11" t="s">
        <v>91</v>
      </c>
      <c r="C29" s="12" t="s">
        <v>92</v>
      </c>
      <c r="D29" s="14" t="s">
        <v>69</v>
      </c>
      <c r="E29" s="12"/>
      <c r="F29" s="12"/>
      <c r="G29" s="12"/>
      <c r="H29" s="13"/>
    </row>
    <row r="32" spans="2:8" x14ac:dyDescent="0.2">
      <c r="C32">
        <v>1</v>
      </c>
      <c r="D32" t="s">
        <v>139</v>
      </c>
    </row>
    <row r="33" spans="3:4" x14ac:dyDescent="0.2">
      <c r="C33">
        <v>2</v>
      </c>
      <c r="D33" t="s">
        <v>136</v>
      </c>
    </row>
    <row r="34" spans="3:4" x14ac:dyDescent="0.2">
      <c r="C34">
        <v>3</v>
      </c>
      <c r="D34" t="s">
        <v>137</v>
      </c>
    </row>
    <row r="35" spans="3:4" x14ac:dyDescent="0.2">
      <c r="C35">
        <v>4</v>
      </c>
      <c r="D35" t="s">
        <v>138</v>
      </c>
    </row>
  </sheetData>
  <hyperlinks>
    <hyperlink ref="B23" location="golcadomide!A1" display="golcadomide" xr:uid="{CE94D3E4-668B-4EC7-A589-411EBF2CDE51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X71"/>
  <sheetViews>
    <sheetView tabSelected="1" zoomScale="130" zoomScaleNormal="130" workbookViewId="0">
      <pane xSplit="2" ySplit="2" topLeftCell="N28" activePane="bottomRight" state="frozen"/>
      <selection pane="topRight" activeCell="C1" sqref="C1"/>
      <selection pane="bottomLeft" activeCell="A3" sqref="A3"/>
      <selection pane="bottomRight" activeCell="X52" sqref="X52"/>
    </sheetView>
  </sheetViews>
  <sheetFormatPr defaultRowHeight="12.75" x14ac:dyDescent="0.2"/>
  <cols>
    <col min="1" max="1" width="4.5703125" style="1" customWidth="1"/>
    <col min="2" max="2" width="17.140625" style="1" customWidth="1"/>
    <col min="3" max="11" width="9.140625" style="1"/>
    <col min="12" max="14" width="10.140625" style="1" bestFit="1" customWidth="1"/>
    <col min="15" max="16384" width="9.140625" style="1"/>
  </cols>
  <sheetData>
    <row r="1" spans="1:20" x14ac:dyDescent="0.2">
      <c r="A1" s="4" t="s">
        <v>16</v>
      </c>
      <c r="C1" s="2"/>
      <c r="G1" s="2">
        <v>45747</v>
      </c>
      <c r="H1" s="2">
        <v>45863</v>
      </c>
      <c r="L1" s="2"/>
      <c r="M1" s="2">
        <v>45291</v>
      </c>
      <c r="N1" s="2">
        <v>45657</v>
      </c>
    </row>
    <row r="2" spans="1:20" x14ac:dyDescent="0.2">
      <c r="C2" s="1" t="s">
        <v>11</v>
      </c>
      <c r="D2" s="1" t="s">
        <v>12</v>
      </c>
      <c r="E2" s="1" t="s">
        <v>13</v>
      </c>
      <c r="F2" s="1" t="s">
        <v>14</v>
      </c>
      <c r="G2" s="1" t="s">
        <v>10</v>
      </c>
      <c r="H2" s="1" t="s">
        <v>15</v>
      </c>
      <c r="I2" s="1" t="s">
        <v>58</v>
      </c>
      <c r="J2" s="1" t="s">
        <v>59</v>
      </c>
      <c r="L2" s="6">
        <v>2022</v>
      </c>
      <c r="M2" s="6">
        <f>L2+1</f>
        <v>2023</v>
      </c>
      <c r="N2" s="6">
        <f t="shared" ref="N2:T2" si="0">M2+1</f>
        <v>2024</v>
      </c>
      <c r="O2" s="6">
        <f t="shared" si="0"/>
        <v>2025</v>
      </c>
      <c r="P2" s="6">
        <f t="shared" si="0"/>
        <v>2026</v>
      </c>
      <c r="Q2" s="6">
        <f t="shared" si="0"/>
        <v>2027</v>
      </c>
      <c r="R2" s="6">
        <f t="shared" si="0"/>
        <v>2028</v>
      </c>
      <c r="S2" s="6">
        <f t="shared" si="0"/>
        <v>2029</v>
      </c>
      <c r="T2" s="6">
        <f t="shared" si="0"/>
        <v>2030</v>
      </c>
    </row>
    <row r="3" spans="1:20" x14ac:dyDescent="0.2">
      <c r="B3" s="1" t="s">
        <v>100</v>
      </c>
      <c r="L3" s="6"/>
      <c r="M3" s="1">
        <v>31210</v>
      </c>
      <c r="N3" s="1">
        <v>34105</v>
      </c>
      <c r="O3" s="6"/>
      <c r="P3" s="6"/>
      <c r="Q3" s="6"/>
      <c r="R3" s="6"/>
      <c r="S3" s="6"/>
      <c r="T3" s="6"/>
    </row>
    <row r="4" spans="1:20" x14ac:dyDescent="0.2">
      <c r="B4" s="1" t="s">
        <v>101</v>
      </c>
      <c r="L4" s="6"/>
      <c r="M4" s="1">
        <v>13097</v>
      </c>
      <c r="N4" s="1">
        <v>13199</v>
      </c>
      <c r="O4" s="6"/>
      <c r="P4" s="6"/>
      <c r="Q4" s="6"/>
      <c r="R4" s="6"/>
      <c r="S4" s="6"/>
      <c r="T4" s="6"/>
    </row>
    <row r="5" spans="1:20" x14ac:dyDescent="0.2">
      <c r="B5" s="1" t="s">
        <v>102</v>
      </c>
      <c r="L5" s="6"/>
      <c r="M5" s="1">
        <v>699</v>
      </c>
      <c r="N5" s="1">
        <v>996</v>
      </c>
      <c r="O5" s="6"/>
      <c r="P5" s="6"/>
      <c r="Q5" s="6"/>
      <c r="R5" s="6"/>
      <c r="S5" s="6"/>
      <c r="T5" s="6"/>
    </row>
    <row r="6" spans="1:20" x14ac:dyDescent="0.2">
      <c r="L6" s="6"/>
      <c r="O6" s="6"/>
      <c r="P6" s="6"/>
      <c r="Q6" s="6"/>
      <c r="R6" s="6"/>
      <c r="S6" s="6"/>
      <c r="T6" s="6"/>
    </row>
    <row r="7" spans="1:20" x14ac:dyDescent="0.2">
      <c r="B7" s="1" t="s">
        <v>103</v>
      </c>
      <c r="G7" s="1">
        <v>2265</v>
      </c>
      <c r="H7" s="1">
        <f>G7*1.01</f>
        <v>2287.65</v>
      </c>
      <c r="I7" s="1">
        <f t="shared" ref="I7:J7" si="1">H7*1.01</f>
        <v>2310.5264999999999</v>
      </c>
      <c r="J7" s="1">
        <f t="shared" si="1"/>
        <v>2333.6317650000001</v>
      </c>
      <c r="L7" s="6"/>
      <c r="M7" s="1">
        <v>9009</v>
      </c>
      <c r="N7" s="1">
        <v>9304</v>
      </c>
      <c r="O7" s="1">
        <f t="shared" ref="O7:O26" si="2">SUM(G7:J7)</f>
        <v>9196.8082649999997</v>
      </c>
      <c r="P7" s="1">
        <f>N7*1.03</f>
        <v>9583.1200000000008</v>
      </c>
      <c r="Q7" s="1">
        <f t="shared" ref="Q7:T9" si="3">P7*1.04</f>
        <v>9966.4448000000011</v>
      </c>
      <c r="R7" s="1">
        <f>Q7*0.4</f>
        <v>3986.5779200000006</v>
      </c>
      <c r="S7" s="1">
        <v>0</v>
      </c>
      <c r="T7" s="1">
        <v>0</v>
      </c>
    </row>
    <row r="8" spans="1:20" x14ac:dyDescent="0.2">
      <c r="B8" s="1" t="s">
        <v>104</v>
      </c>
      <c r="G8" s="1">
        <v>770</v>
      </c>
      <c r="H8" s="1">
        <f>G8*1.01</f>
        <v>777.7</v>
      </c>
      <c r="I8" s="1">
        <f t="shared" ref="I8:J8" si="4">H8*1.01</f>
        <v>785.47700000000009</v>
      </c>
      <c r="J8" s="1">
        <f t="shared" si="4"/>
        <v>793.33177000000012</v>
      </c>
      <c r="L8" s="6"/>
      <c r="M8" s="1">
        <v>3601</v>
      </c>
      <c r="N8" s="1">
        <v>3682</v>
      </c>
      <c r="O8" s="1">
        <f t="shared" si="2"/>
        <v>3126.5087700000004</v>
      </c>
      <c r="P8" s="1">
        <f t="shared" ref="P8:P26" si="5">N8*1.02</f>
        <v>3755.64</v>
      </c>
      <c r="Q8" s="1">
        <f t="shared" ref="Q8:T8" si="6">P8*1.1</f>
        <v>4131.2040000000006</v>
      </c>
      <c r="R8" s="1">
        <f t="shared" si="6"/>
        <v>4544.3244000000013</v>
      </c>
      <c r="S8" s="1">
        <f t="shared" si="6"/>
        <v>4998.7568400000018</v>
      </c>
      <c r="T8" s="1">
        <f t="shared" si="6"/>
        <v>5498.6325240000024</v>
      </c>
    </row>
    <row r="9" spans="1:20" s="5" customFormat="1" x14ac:dyDescent="0.2">
      <c r="A9" s="1"/>
      <c r="B9" s="5" t="s">
        <v>105</v>
      </c>
      <c r="G9" s="5">
        <v>624</v>
      </c>
      <c r="H9" s="5">
        <f t="shared" ref="H9:H14" si="7">G9*1.03</f>
        <v>642.72</v>
      </c>
      <c r="I9" s="5">
        <f t="shared" ref="I9:J9" si="8">H9*1.03</f>
        <v>662.00160000000005</v>
      </c>
      <c r="J9" s="5">
        <f t="shared" si="8"/>
        <v>681.86164800000006</v>
      </c>
      <c r="L9" s="29"/>
      <c r="M9" s="5">
        <v>2238</v>
      </c>
      <c r="N9" s="5">
        <v>2530</v>
      </c>
      <c r="O9" s="5">
        <f t="shared" si="2"/>
        <v>2610.5832479999999</v>
      </c>
      <c r="P9" s="5">
        <f t="shared" si="5"/>
        <v>2580.6</v>
      </c>
      <c r="Q9" s="5">
        <f t="shared" si="3"/>
        <v>2683.8240000000001</v>
      </c>
      <c r="R9" s="5">
        <f t="shared" si="3"/>
        <v>2791.1769600000002</v>
      </c>
      <c r="S9" s="5">
        <f t="shared" si="3"/>
        <v>2902.8240384000005</v>
      </c>
      <c r="T9" s="5">
        <f t="shared" si="3"/>
        <v>3018.9369999360006</v>
      </c>
    </row>
    <row r="10" spans="1:20" s="5" customFormat="1" x14ac:dyDescent="0.2">
      <c r="A10" s="1"/>
      <c r="B10" s="5" t="s">
        <v>106</v>
      </c>
      <c r="G10" s="5">
        <v>478</v>
      </c>
      <c r="H10" s="5">
        <f t="shared" si="7"/>
        <v>492.34000000000003</v>
      </c>
      <c r="I10" s="5">
        <f t="shared" ref="I10:J10" si="9">H10*1.03</f>
        <v>507.11020000000002</v>
      </c>
      <c r="J10" s="5">
        <f t="shared" si="9"/>
        <v>522.32350600000007</v>
      </c>
      <c r="L10" s="29"/>
      <c r="M10" s="5">
        <v>1008</v>
      </c>
      <c r="N10" s="5">
        <v>1773</v>
      </c>
      <c r="O10" s="5">
        <f t="shared" si="2"/>
        <v>1999.7737059999999</v>
      </c>
      <c r="P10" s="5">
        <f t="shared" si="5"/>
        <v>1808.46</v>
      </c>
      <c r="Q10" s="5">
        <f t="shared" ref="Q10:T10" si="10">P10*1.04</f>
        <v>1880.7984000000001</v>
      </c>
      <c r="R10" s="5">
        <f t="shared" si="10"/>
        <v>1956.0303360000003</v>
      </c>
      <c r="S10" s="5">
        <f t="shared" si="10"/>
        <v>2034.2715494400004</v>
      </c>
      <c r="T10" s="5">
        <f t="shared" si="10"/>
        <v>2115.6424114176007</v>
      </c>
    </row>
    <row r="11" spans="1:20" s="5" customFormat="1" x14ac:dyDescent="0.2">
      <c r="A11" s="1"/>
      <c r="B11" s="5" t="s">
        <v>107</v>
      </c>
      <c r="G11" s="5">
        <v>252</v>
      </c>
      <c r="H11" s="5">
        <f t="shared" si="7"/>
        <v>259.56</v>
      </c>
      <c r="I11" s="5">
        <f t="shared" ref="I11:J11" si="11">H11*1.03</f>
        <v>267.34680000000003</v>
      </c>
      <c r="J11" s="5">
        <f t="shared" si="11"/>
        <v>275.36720400000002</v>
      </c>
      <c r="L11" s="29"/>
      <c r="M11" s="5">
        <v>627</v>
      </c>
      <c r="N11" s="5">
        <v>928</v>
      </c>
      <c r="O11" s="5">
        <f t="shared" si="2"/>
        <v>1054.2740039999999</v>
      </c>
      <c r="P11" s="5">
        <f t="shared" si="5"/>
        <v>946.56000000000006</v>
      </c>
      <c r="Q11" s="5">
        <f t="shared" ref="Q11:T26" si="12">P11*1.04</f>
        <v>984.42240000000004</v>
      </c>
      <c r="R11" s="5">
        <f t="shared" si="12"/>
        <v>1023.799296</v>
      </c>
      <c r="S11" s="5">
        <f t="shared" si="12"/>
        <v>1064.7512678400001</v>
      </c>
      <c r="T11" s="5">
        <f t="shared" si="12"/>
        <v>1107.3413185536001</v>
      </c>
    </row>
    <row r="12" spans="1:20" s="5" customFormat="1" x14ac:dyDescent="0.2">
      <c r="A12" s="1"/>
      <c r="B12" s="5" t="s">
        <v>108</v>
      </c>
      <c r="G12" s="5">
        <v>263</v>
      </c>
      <c r="H12" s="5">
        <f t="shared" si="7"/>
        <v>270.89</v>
      </c>
      <c r="I12" s="5">
        <f t="shared" ref="I12:J12" si="13">H12*1.03</f>
        <v>279.01670000000001</v>
      </c>
      <c r="J12" s="5">
        <f t="shared" si="13"/>
        <v>287.387201</v>
      </c>
      <c r="L12" s="29"/>
      <c r="M12" s="5">
        <v>364</v>
      </c>
      <c r="N12" s="5">
        <v>747</v>
      </c>
      <c r="O12" s="5">
        <f t="shared" si="2"/>
        <v>1100.293901</v>
      </c>
      <c r="P12" s="5">
        <f t="shared" si="5"/>
        <v>761.94</v>
      </c>
      <c r="Q12" s="5">
        <f t="shared" si="12"/>
        <v>792.41760000000011</v>
      </c>
      <c r="R12" s="5">
        <f t="shared" si="12"/>
        <v>824.11430400000017</v>
      </c>
      <c r="S12" s="5">
        <f t="shared" si="12"/>
        <v>857.07887616000016</v>
      </c>
      <c r="T12" s="5">
        <f t="shared" si="12"/>
        <v>891.36203120640016</v>
      </c>
    </row>
    <row r="13" spans="1:20" s="5" customFormat="1" x14ac:dyDescent="0.2">
      <c r="A13" s="1"/>
      <c r="B13" s="5" t="s">
        <v>109</v>
      </c>
      <c r="G13" s="5">
        <v>159</v>
      </c>
      <c r="H13" s="5">
        <f t="shared" si="7"/>
        <v>163.77000000000001</v>
      </c>
      <c r="I13" s="5">
        <f t="shared" ref="I13:J13" si="14">H13*1.03</f>
        <v>168.68310000000002</v>
      </c>
      <c r="J13" s="5">
        <f t="shared" si="14"/>
        <v>173.74359300000003</v>
      </c>
      <c r="L13" s="29"/>
      <c r="M13" s="5">
        <v>231</v>
      </c>
      <c r="N13" s="5">
        <v>602</v>
      </c>
      <c r="O13" s="5">
        <f t="shared" si="2"/>
        <v>665.1966930000001</v>
      </c>
      <c r="P13" s="5">
        <f t="shared" si="5"/>
        <v>614.04</v>
      </c>
      <c r="Q13" s="5">
        <f t="shared" si="12"/>
        <v>638.60159999999996</v>
      </c>
      <c r="R13" s="5">
        <f t="shared" si="12"/>
        <v>664.14566400000001</v>
      </c>
      <c r="S13" s="5">
        <f t="shared" si="12"/>
        <v>690.71149056000002</v>
      </c>
      <c r="T13" s="5">
        <f t="shared" si="12"/>
        <v>718.3399501824</v>
      </c>
    </row>
    <row r="14" spans="1:20" s="5" customFormat="1" x14ac:dyDescent="0.2">
      <c r="A14" s="1"/>
      <c r="B14" s="5" t="s">
        <v>110</v>
      </c>
      <c r="G14" s="5">
        <v>107</v>
      </c>
      <c r="H14" s="5">
        <f t="shared" si="7"/>
        <v>110.21000000000001</v>
      </c>
      <c r="I14" s="5">
        <f t="shared" ref="I14:J14" si="15">H14*1.03</f>
        <v>113.51630000000002</v>
      </c>
      <c r="J14" s="5">
        <f t="shared" si="15"/>
        <v>116.92178900000002</v>
      </c>
      <c r="L14" s="29"/>
      <c r="M14" s="5">
        <v>434</v>
      </c>
      <c r="N14" s="5">
        <v>566</v>
      </c>
      <c r="O14" s="5">
        <f t="shared" si="2"/>
        <v>447.64808900000003</v>
      </c>
      <c r="P14" s="5">
        <f t="shared" si="5"/>
        <v>577.32000000000005</v>
      </c>
      <c r="Q14" s="5">
        <f t="shared" si="12"/>
        <v>600.41280000000006</v>
      </c>
      <c r="R14" s="5">
        <f t="shared" si="12"/>
        <v>624.4293120000001</v>
      </c>
      <c r="S14" s="5">
        <f t="shared" si="12"/>
        <v>649.40648448000013</v>
      </c>
      <c r="T14" s="5">
        <f t="shared" si="12"/>
        <v>675.3827438592001</v>
      </c>
    </row>
    <row r="15" spans="1:20" x14ac:dyDescent="0.2">
      <c r="B15" s="1" t="s">
        <v>111</v>
      </c>
      <c r="G15" s="1">
        <v>103</v>
      </c>
      <c r="H15" s="1">
        <f>G15*1.01</f>
        <v>104.03</v>
      </c>
      <c r="I15" s="1">
        <f t="shared" ref="I15:J15" si="16">H15*1.01</f>
        <v>105.0703</v>
      </c>
      <c r="J15" s="1">
        <f t="shared" si="16"/>
        <v>106.121003</v>
      </c>
      <c r="L15" s="6"/>
      <c r="M15" s="1">
        <v>472</v>
      </c>
      <c r="N15" s="1">
        <v>406</v>
      </c>
      <c r="O15" s="1">
        <f t="shared" si="2"/>
        <v>418.22130300000003</v>
      </c>
      <c r="P15" s="1">
        <f t="shared" si="5"/>
        <v>414.12</v>
      </c>
      <c r="Q15" s="1">
        <f t="shared" si="12"/>
        <v>430.6848</v>
      </c>
      <c r="R15" s="1">
        <f t="shared" si="12"/>
        <v>447.912192</v>
      </c>
      <c r="S15" s="1">
        <f t="shared" si="12"/>
        <v>465.82867967999999</v>
      </c>
      <c r="T15" s="1">
        <f t="shared" si="12"/>
        <v>484.46182686719999</v>
      </c>
    </row>
    <row r="16" spans="1:20" x14ac:dyDescent="0.2">
      <c r="B16" s="1" t="s">
        <v>112</v>
      </c>
      <c r="G16" s="1">
        <v>55</v>
      </c>
      <c r="L16" s="6"/>
      <c r="M16" s="1">
        <v>170</v>
      </c>
      <c r="N16" s="1">
        <v>246</v>
      </c>
      <c r="O16" s="1">
        <f t="shared" si="2"/>
        <v>55</v>
      </c>
      <c r="P16" s="1">
        <f t="shared" si="5"/>
        <v>250.92000000000002</v>
      </c>
      <c r="Q16" s="1">
        <f t="shared" si="12"/>
        <v>260.95680000000004</v>
      </c>
      <c r="R16" s="1">
        <f t="shared" si="12"/>
        <v>271.39507200000003</v>
      </c>
      <c r="S16" s="1">
        <f t="shared" si="12"/>
        <v>282.25087488000003</v>
      </c>
      <c r="T16" s="1">
        <f t="shared" si="12"/>
        <v>293.54090987520004</v>
      </c>
    </row>
    <row r="17" spans="1:20" x14ac:dyDescent="0.2">
      <c r="B17" s="1" t="s">
        <v>113</v>
      </c>
      <c r="G17" s="1">
        <v>48</v>
      </c>
      <c r="L17" s="6"/>
      <c r="M17" s="6">
        <v>0</v>
      </c>
      <c r="N17" s="6">
        <v>126</v>
      </c>
      <c r="O17" s="1">
        <f t="shared" si="2"/>
        <v>48</v>
      </c>
      <c r="P17" s="1">
        <f t="shared" si="5"/>
        <v>128.52000000000001</v>
      </c>
      <c r="Q17" s="1">
        <f t="shared" si="12"/>
        <v>133.66080000000002</v>
      </c>
      <c r="R17" s="1">
        <f t="shared" si="12"/>
        <v>139.00723200000002</v>
      </c>
      <c r="S17" s="1">
        <f t="shared" si="12"/>
        <v>144.56752128000002</v>
      </c>
      <c r="T17" s="1">
        <f t="shared" si="12"/>
        <v>150.35022213120004</v>
      </c>
    </row>
    <row r="18" spans="1:20" s="5" customFormat="1" x14ac:dyDescent="0.2">
      <c r="A18" s="1"/>
      <c r="B18" s="5" t="s">
        <v>114</v>
      </c>
      <c r="H18" s="5">
        <v>25</v>
      </c>
      <c r="I18" s="5">
        <v>25</v>
      </c>
      <c r="J18" s="5">
        <v>25</v>
      </c>
      <c r="L18" s="29"/>
      <c r="M18" s="29">
        <v>1</v>
      </c>
      <c r="N18" s="29">
        <v>38</v>
      </c>
      <c r="O18" s="5">
        <f t="shared" si="2"/>
        <v>75</v>
      </c>
      <c r="P18" s="5">
        <f t="shared" si="5"/>
        <v>38.76</v>
      </c>
      <c r="Q18" s="5">
        <f t="shared" si="12"/>
        <v>40.310400000000001</v>
      </c>
      <c r="R18" s="5">
        <f t="shared" si="12"/>
        <v>41.922816000000005</v>
      </c>
      <c r="S18" s="5">
        <f t="shared" si="12"/>
        <v>43.599728640000009</v>
      </c>
      <c r="T18" s="5">
        <f t="shared" si="12"/>
        <v>45.343717785600013</v>
      </c>
    </row>
    <row r="19" spans="1:20" s="5" customFormat="1" x14ac:dyDescent="0.2">
      <c r="A19" s="1"/>
      <c r="B19" s="5" t="s">
        <v>115</v>
      </c>
      <c r="G19" s="5">
        <v>27</v>
      </c>
      <c r="H19" s="5">
        <f>G19*1.03</f>
        <v>27.810000000000002</v>
      </c>
      <c r="I19" s="5">
        <f t="shared" ref="I19:J19" si="17">H19*1.03</f>
        <v>28.644300000000005</v>
      </c>
      <c r="J19" s="5">
        <f t="shared" si="17"/>
        <v>29.503629000000007</v>
      </c>
      <c r="L19" s="29"/>
      <c r="M19" s="29">
        <v>0</v>
      </c>
      <c r="N19" s="29">
        <v>10</v>
      </c>
      <c r="O19" s="5">
        <f>SUM(G19:J19)</f>
        <v>112.95792900000001</v>
      </c>
      <c r="P19" s="5">
        <f t="shared" si="5"/>
        <v>10.199999999999999</v>
      </c>
      <c r="Q19" s="5">
        <f t="shared" si="12"/>
        <v>10.607999999999999</v>
      </c>
      <c r="R19" s="5">
        <f t="shared" si="12"/>
        <v>11.032319999999999</v>
      </c>
      <c r="S19" s="5">
        <f t="shared" si="12"/>
        <v>11.4736128</v>
      </c>
      <c r="T19" s="5">
        <f t="shared" si="12"/>
        <v>11.932557312</v>
      </c>
    </row>
    <row r="20" spans="1:20" x14ac:dyDescent="0.2">
      <c r="B20" s="1" t="s">
        <v>116</v>
      </c>
      <c r="G20" s="1">
        <v>403</v>
      </c>
      <c r="H20" s="1">
        <f t="shared" ref="H20:H26" si="18">G20*1.01</f>
        <v>407.03000000000003</v>
      </c>
      <c r="I20" s="1">
        <f t="shared" ref="I20:J20" si="19">H20*1.01</f>
        <v>411.10030000000006</v>
      </c>
      <c r="J20" s="1">
        <f t="shared" si="19"/>
        <v>415.21130300000004</v>
      </c>
      <c r="L20" s="6"/>
      <c r="M20" s="1">
        <v>1211</v>
      </c>
      <c r="N20" s="1">
        <v>1605</v>
      </c>
      <c r="O20" s="1">
        <f t="shared" si="2"/>
        <v>1636.3416030000001</v>
      </c>
      <c r="P20" s="1">
        <f t="shared" si="5"/>
        <v>1637.1000000000001</v>
      </c>
      <c r="Q20" s="1">
        <f t="shared" si="12"/>
        <v>1702.5840000000003</v>
      </c>
      <c r="R20" s="1">
        <f t="shared" si="12"/>
        <v>1770.6873600000004</v>
      </c>
      <c r="S20" s="1">
        <f t="shared" si="12"/>
        <v>1841.5148544000003</v>
      </c>
      <c r="T20" s="1">
        <f t="shared" si="12"/>
        <v>1915.1754485760005</v>
      </c>
    </row>
    <row r="21" spans="1:20" x14ac:dyDescent="0.2">
      <c r="B21" s="1" t="s">
        <v>117</v>
      </c>
      <c r="G21" s="1">
        <v>3565</v>
      </c>
      <c r="H21" s="1">
        <f t="shared" si="18"/>
        <v>3600.65</v>
      </c>
      <c r="I21" s="1">
        <f t="shared" ref="I21:J21" si="20">H21*1.01</f>
        <v>3636.6565000000001</v>
      </c>
      <c r="J21" s="1">
        <f t="shared" si="20"/>
        <v>3673.0230649999999</v>
      </c>
      <c r="L21" s="6"/>
      <c r="M21" s="1">
        <v>12206</v>
      </c>
      <c r="N21" s="1">
        <v>13333</v>
      </c>
      <c r="O21" s="1">
        <f t="shared" si="2"/>
        <v>14475.329564999998</v>
      </c>
      <c r="P21" s="1">
        <f>N21*1.04</f>
        <v>13866.32</v>
      </c>
      <c r="Q21" s="1">
        <f t="shared" si="12"/>
        <v>14420.9728</v>
      </c>
      <c r="R21" s="1">
        <f>Q21*0.4</f>
        <v>5768.3891199999998</v>
      </c>
      <c r="S21" s="1">
        <v>0</v>
      </c>
      <c r="T21" s="1">
        <v>0</v>
      </c>
    </row>
    <row r="22" spans="1:20" x14ac:dyDescent="0.2">
      <c r="B22" s="1" t="s">
        <v>118</v>
      </c>
      <c r="G22" s="1">
        <v>936</v>
      </c>
      <c r="H22" s="1">
        <f t="shared" si="18"/>
        <v>945.36</v>
      </c>
      <c r="I22" s="1">
        <f t="shared" ref="I22:J22" si="21">H22*1.01</f>
        <v>954.81360000000006</v>
      </c>
      <c r="J22" s="1">
        <f t="shared" si="21"/>
        <v>964.36173600000006</v>
      </c>
      <c r="L22" s="6"/>
      <c r="M22" s="1">
        <v>6097</v>
      </c>
      <c r="N22" s="1">
        <v>5773</v>
      </c>
      <c r="O22" s="1">
        <f t="shared" si="2"/>
        <v>3800.5353359999999</v>
      </c>
      <c r="P22" s="1">
        <f t="shared" si="5"/>
        <v>5888.46</v>
      </c>
      <c r="Q22" s="1">
        <f t="shared" si="12"/>
        <v>6123.9984000000004</v>
      </c>
      <c r="R22" s="1">
        <f t="shared" si="12"/>
        <v>6368.9583360000006</v>
      </c>
      <c r="S22" s="1">
        <f t="shared" si="12"/>
        <v>6623.7166694400012</v>
      </c>
      <c r="T22" s="1">
        <f t="shared" si="12"/>
        <v>6888.6653362176012</v>
      </c>
    </row>
    <row r="23" spans="1:20" x14ac:dyDescent="0.2">
      <c r="B23" s="1" t="s">
        <v>119</v>
      </c>
      <c r="G23" s="1">
        <v>658</v>
      </c>
      <c r="H23" s="1">
        <f t="shared" si="18"/>
        <v>664.58</v>
      </c>
      <c r="I23" s="1">
        <f t="shared" ref="I23:J23" si="22">H23*1.01</f>
        <v>671.22580000000005</v>
      </c>
      <c r="J23" s="1">
        <f t="shared" si="22"/>
        <v>677.93805800000007</v>
      </c>
      <c r="L23" s="6"/>
      <c r="M23" s="1">
        <v>3441</v>
      </c>
      <c r="N23" s="1">
        <v>3545</v>
      </c>
      <c r="O23" s="1">
        <f t="shared" si="2"/>
        <v>2671.7438580000003</v>
      </c>
      <c r="P23" s="1">
        <f t="shared" si="5"/>
        <v>3615.9</v>
      </c>
      <c r="Q23" s="1">
        <f t="shared" si="12"/>
        <v>3760.5360000000001</v>
      </c>
      <c r="R23" s="1">
        <f t="shared" si="12"/>
        <v>3910.9574400000001</v>
      </c>
      <c r="S23" s="1">
        <f t="shared" si="12"/>
        <v>4067.3957376000003</v>
      </c>
      <c r="T23" s="1">
        <f t="shared" si="12"/>
        <v>4230.0915671040002</v>
      </c>
    </row>
    <row r="24" spans="1:20" x14ac:dyDescent="0.2">
      <c r="B24" s="1" t="s">
        <v>120</v>
      </c>
      <c r="G24" s="1">
        <v>175</v>
      </c>
      <c r="H24" s="1">
        <f t="shared" si="18"/>
        <v>176.75</v>
      </c>
      <c r="I24" s="1">
        <f t="shared" ref="I24:J24" si="23">H24*1.01</f>
        <v>178.51750000000001</v>
      </c>
      <c r="J24" s="1">
        <f t="shared" si="23"/>
        <v>180.30267500000002</v>
      </c>
      <c r="L24" s="6"/>
      <c r="M24" s="1">
        <v>1930</v>
      </c>
      <c r="N24" s="1">
        <v>1286</v>
      </c>
      <c r="O24" s="1">
        <f t="shared" si="2"/>
        <v>710.57017500000006</v>
      </c>
      <c r="P24" s="1">
        <f t="shared" si="5"/>
        <v>1311.72</v>
      </c>
      <c r="Q24" s="1">
        <f t="shared" si="12"/>
        <v>1364.1888000000001</v>
      </c>
      <c r="R24" s="1">
        <f t="shared" si="12"/>
        <v>1418.7563520000001</v>
      </c>
      <c r="S24" s="1">
        <f t="shared" si="12"/>
        <v>1475.5066060800002</v>
      </c>
      <c r="T24" s="1">
        <f t="shared" si="12"/>
        <v>1534.5268703232002</v>
      </c>
    </row>
    <row r="25" spans="1:20" x14ac:dyDescent="0.2">
      <c r="B25" s="1" t="s">
        <v>121</v>
      </c>
      <c r="G25" s="1">
        <v>105</v>
      </c>
      <c r="H25" s="1">
        <f t="shared" si="18"/>
        <v>106.05</v>
      </c>
      <c r="I25" s="1">
        <f t="shared" ref="I25:J25" si="24">H25*1.01</f>
        <v>107.1105</v>
      </c>
      <c r="J25" s="1">
        <f t="shared" si="24"/>
        <v>108.181605</v>
      </c>
      <c r="L25" s="6"/>
      <c r="M25" s="1">
        <v>1004</v>
      </c>
      <c r="N25" s="1">
        <v>875</v>
      </c>
      <c r="O25" s="1">
        <f t="shared" si="2"/>
        <v>426.342105</v>
      </c>
      <c r="P25" s="1">
        <f t="shared" si="5"/>
        <v>892.5</v>
      </c>
      <c r="Q25" s="1">
        <f t="shared" si="12"/>
        <v>928.2</v>
      </c>
      <c r="R25" s="1">
        <f t="shared" si="12"/>
        <v>965.32800000000009</v>
      </c>
      <c r="S25" s="1">
        <f t="shared" si="12"/>
        <v>1003.9411200000002</v>
      </c>
      <c r="T25" s="1">
        <f t="shared" si="12"/>
        <v>1044.0987648000003</v>
      </c>
    </row>
    <row r="26" spans="1:20" x14ac:dyDescent="0.2">
      <c r="B26" s="1" t="s">
        <v>122</v>
      </c>
      <c r="G26" s="1">
        <v>199</v>
      </c>
      <c r="H26" s="1">
        <f t="shared" si="18"/>
        <v>200.99</v>
      </c>
      <c r="I26" s="1">
        <f t="shared" ref="I26:J26" si="25">H26*1.01</f>
        <v>202.99990000000003</v>
      </c>
      <c r="J26" s="1">
        <f t="shared" si="25"/>
        <v>205.02989900000003</v>
      </c>
      <c r="L26" s="6"/>
      <c r="M26" s="1">
        <v>962</v>
      </c>
      <c r="N26" s="1">
        <v>925</v>
      </c>
      <c r="O26" s="1">
        <f t="shared" si="2"/>
        <v>808.01979900000003</v>
      </c>
      <c r="P26" s="1">
        <f t="shared" si="5"/>
        <v>943.5</v>
      </c>
      <c r="Q26" s="1">
        <f t="shared" si="12"/>
        <v>981.24</v>
      </c>
      <c r="R26" s="1">
        <f t="shared" si="12"/>
        <v>1020.4896</v>
      </c>
      <c r="S26" s="1">
        <f t="shared" si="12"/>
        <v>1061.309184</v>
      </c>
      <c r="T26" s="1">
        <f t="shared" si="12"/>
        <v>1103.7615513599999</v>
      </c>
    </row>
    <row r="27" spans="1:20" x14ac:dyDescent="0.2">
      <c r="B27" s="1" t="s">
        <v>18</v>
      </c>
      <c r="C27" s="1">
        <f>11559</f>
        <v>11559</v>
      </c>
      <c r="G27" s="1">
        <v>10886</v>
      </c>
      <c r="L27" s="1">
        <f>44671</f>
        <v>44671</v>
      </c>
      <c r="M27" s="1">
        <f>43778</f>
        <v>43778</v>
      </c>
      <c r="N27" s="1">
        <v>46778</v>
      </c>
      <c r="O27" s="1">
        <f t="shared" ref="O27:O42" si="26">SUM(G27:J27)</f>
        <v>10886</v>
      </c>
    </row>
    <row r="28" spans="1:20" x14ac:dyDescent="0.2">
      <c r="B28" s="1" t="s">
        <v>19</v>
      </c>
      <c r="C28" s="1">
        <f>306</f>
        <v>306</v>
      </c>
      <c r="G28" s="1">
        <v>315</v>
      </c>
      <c r="L28" s="1">
        <f>1488</f>
        <v>1488</v>
      </c>
      <c r="M28" s="1">
        <f>1228</f>
        <v>1228</v>
      </c>
      <c r="N28" s="1">
        <v>1522</v>
      </c>
      <c r="O28" s="1">
        <f t="shared" si="26"/>
        <v>315</v>
      </c>
    </row>
    <row r="29" spans="1:20" s="5" customFormat="1" x14ac:dyDescent="0.2">
      <c r="A29" s="1"/>
      <c r="B29" s="5" t="s">
        <v>17</v>
      </c>
      <c r="C29" s="5">
        <f>SUM(C27:C28)</f>
        <v>11865</v>
      </c>
      <c r="D29" s="5">
        <f t="shared" ref="D29:L29" si="27">SUM(D27:D28)</f>
        <v>0</v>
      </c>
      <c r="E29" s="5">
        <f t="shared" si="27"/>
        <v>0</v>
      </c>
      <c r="F29" s="5">
        <f t="shared" si="27"/>
        <v>0</v>
      </c>
      <c r="G29" s="5">
        <f t="shared" si="27"/>
        <v>11201</v>
      </c>
      <c r="H29" s="5">
        <f>SUM(H7:H26)</f>
        <v>11263.090000000002</v>
      </c>
      <c r="I29" s="5">
        <f t="shared" ref="I29:J29" si="28">SUM(I7:I26)</f>
        <v>11414.816900000002</v>
      </c>
      <c r="J29" s="5">
        <f t="shared" si="28"/>
        <v>11569.241449000001</v>
      </c>
      <c r="L29" s="5">
        <f t="shared" si="27"/>
        <v>46159</v>
      </c>
      <c r="M29" s="5">
        <f t="shared" ref="M29" si="29">SUM(M27:M28)</f>
        <v>45006</v>
      </c>
      <c r="N29" s="5">
        <f t="shared" ref="N29" si="30">SUM(N27:N28)</f>
        <v>48300</v>
      </c>
      <c r="O29" s="5">
        <f t="shared" si="26"/>
        <v>45448.148349000003</v>
      </c>
      <c r="P29" s="5">
        <f>SUM(P7:P26)</f>
        <v>49625.7</v>
      </c>
      <c r="Q29" s="5">
        <f t="shared" ref="Q29:T29" si="31">SUM(Q7:Q26)</f>
        <v>51836.066399999996</v>
      </c>
      <c r="R29" s="5">
        <f t="shared" si="31"/>
        <v>38549.434031999997</v>
      </c>
      <c r="S29" s="5">
        <f t="shared" si="31"/>
        <v>30218.905135680005</v>
      </c>
      <c r="T29" s="5">
        <f t="shared" si="31"/>
        <v>31727.586751507206</v>
      </c>
    </row>
    <row r="30" spans="1:20" x14ac:dyDescent="0.2">
      <c r="B30" s="1" t="s">
        <v>20</v>
      </c>
      <c r="C30" s="1">
        <f>2932</f>
        <v>2932</v>
      </c>
      <c r="G30" s="1">
        <v>3033</v>
      </c>
      <c r="H30" s="1">
        <f>H29*0.25</f>
        <v>2815.7725000000005</v>
      </c>
      <c r="I30" s="1">
        <f t="shared" ref="I30:J30" si="32">I29*0.25</f>
        <v>2853.7042250000004</v>
      </c>
      <c r="J30" s="1">
        <f t="shared" si="32"/>
        <v>2892.3103622500003</v>
      </c>
      <c r="L30" s="1">
        <f>10137</f>
        <v>10137</v>
      </c>
      <c r="M30" s="1">
        <f>10693</f>
        <v>10693</v>
      </c>
      <c r="N30" s="1">
        <f>13968</f>
        <v>13968</v>
      </c>
      <c r="O30" s="1">
        <f t="shared" si="26"/>
        <v>11594.787087250001</v>
      </c>
      <c r="P30" s="1">
        <f>P29*0.25</f>
        <v>12406.424999999999</v>
      </c>
      <c r="Q30" s="1">
        <f t="shared" ref="Q30:T30" si="33">Q29*0.25</f>
        <v>12959.016599999999</v>
      </c>
      <c r="R30" s="1">
        <f t="shared" si="33"/>
        <v>9637.3585079999993</v>
      </c>
      <c r="S30" s="1">
        <f t="shared" si="33"/>
        <v>7554.7262839200012</v>
      </c>
      <c r="T30" s="1">
        <f t="shared" si="33"/>
        <v>7931.8966878768015</v>
      </c>
    </row>
    <row r="31" spans="1:20" x14ac:dyDescent="0.2">
      <c r="B31" s="1" t="s">
        <v>21</v>
      </c>
      <c r="C31" s="1">
        <f>C29-C30</f>
        <v>8933</v>
      </c>
      <c r="D31" s="1">
        <f t="shared" ref="D31:L31" si="34">D29-D30</f>
        <v>0</v>
      </c>
      <c r="E31" s="1">
        <f t="shared" si="34"/>
        <v>0</v>
      </c>
      <c r="F31" s="1">
        <f t="shared" si="34"/>
        <v>0</v>
      </c>
      <c r="G31" s="1">
        <f t="shared" si="34"/>
        <v>8168</v>
      </c>
      <c r="H31" s="1">
        <f t="shared" si="34"/>
        <v>8447.317500000001</v>
      </c>
      <c r="I31" s="1">
        <f t="shared" ref="I31" si="35">I29-I30</f>
        <v>8561.1126750000003</v>
      </c>
      <c r="J31" s="1">
        <f t="shared" ref="J31" si="36">J29-J30</f>
        <v>8676.9310867500008</v>
      </c>
      <c r="L31" s="1">
        <f t="shared" si="34"/>
        <v>36022</v>
      </c>
      <c r="M31" s="1">
        <f t="shared" ref="M31" si="37">M29-M30</f>
        <v>34313</v>
      </c>
      <c r="N31" s="1">
        <f t="shared" ref="N31" si="38">N29-N30</f>
        <v>34332</v>
      </c>
      <c r="O31" s="1">
        <f t="shared" si="26"/>
        <v>33853.361261750004</v>
      </c>
      <c r="P31" s="1">
        <f t="shared" ref="P31" si="39">P29-P30</f>
        <v>37219.274999999994</v>
      </c>
      <c r="Q31" s="1">
        <f t="shared" ref="Q31" si="40">Q29-Q30</f>
        <v>38877.049799999993</v>
      </c>
      <c r="R31" s="1">
        <f t="shared" ref="R31" si="41">R29-R30</f>
        <v>28912.075524</v>
      </c>
      <c r="S31" s="1">
        <f t="shared" ref="S31:T31" si="42">S29-S30</f>
        <v>22664.178851760003</v>
      </c>
      <c r="T31" s="1">
        <f t="shared" si="42"/>
        <v>23795.690063630405</v>
      </c>
    </row>
    <row r="32" spans="1:20" x14ac:dyDescent="0.2">
      <c r="B32" s="1" t="s">
        <v>22</v>
      </c>
      <c r="C32" s="1">
        <f>2367</f>
        <v>2367</v>
      </c>
      <c r="G32" s="1">
        <v>1584</v>
      </c>
      <c r="H32" s="1">
        <f>G32*1.01</f>
        <v>1599.84</v>
      </c>
      <c r="I32" s="1">
        <f t="shared" ref="I32:J32" si="43">H32*1.01</f>
        <v>1615.8383999999999</v>
      </c>
      <c r="J32" s="1">
        <f t="shared" si="43"/>
        <v>1631.9967839999999</v>
      </c>
      <c r="L32" s="1">
        <f>7814</f>
        <v>7814</v>
      </c>
      <c r="M32" s="1">
        <f>7772</f>
        <v>7772</v>
      </c>
      <c r="N32" s="1">
        <f>8414</f>
        <v>8414</v>
      </c>
      <c r="O32" s="1">
        <f t="shared" si="26"/>
        <v>6431.6751839999997</v>
      </c>
      <c r="P32" s="1">
        <f>N32*1.04</f>
        <v>8750.56</v>
      </c>
      <c r="Q32" s="1">
        <f t="shared" ref="Q32:T32" si="44">P32*1.04</f>
        <v>9100.5823999999993</v>
      </c>
      <c r="R32" s="1">
        <f t="shared" si="44"/>
        <v>9464.6056959999987</v>
      </c>
      <c r="S32" s="1">
        <f t="shared" si="44"/>
        <v>9843.1899238399983</v>
      </c>
      <c r="T32" s="1">
        <f t="shared" si="44"/>
        <v>10236.917520793599</v>
      </c>
    </row>
    <row r="33" spans="1:128" x14ac:dyDescent="0.2">
      <c r="B33" s="1" t="s">
        <v>23</v>
      </c>
      <c r="C33" s="1">
        <f>2695</f>
        <v>2695</v>
      </c>
      <c r="G33" s="1">
        <v>2257</v>
      </c>
      <c r="L33" s="1">
        <f>9509</f>
        <v>9509</v>
      </c>
      <c r="M33" s="1">
        <f>9299</f>
        <v>9299</v>
      </c>
      <c r="N33" s="1">
        <f>11159</f>
        <v>11159</v>
      </c>
      <c r="O33" s="1">
        <f t="shared" si="26"/>
        <v>2257</v>
      </c>
    </row>
    <row r="34" spans="1:128" x14ac:dyDescent="0.2">
      <c r="B34" s="1" t="s">
        <v>24</v>
      </c>
      <c r="C34" s="1">
        <f>12949</f>
        <v>12949</v>
      </c>
      <c r="G34" s="1">
        <v>188</v>
      </c>
      <c r="L34" s="1">
        <f>815</f>
        <v>815</v>
      </c>
      <c r="M34" s="1">
        <f>913</f>
        <v>913</v>
      </c>
      <c r="N34" s="1">
        <f>13363</f>
        <v>13363</v>
      </c>
      <c r="O34" s="1">
        <f t="shared" si="26"/>
        <v>188</v>
      </c>
    </row>
    <row r="35" spans="1:128" x14ac:dyDescent="0.2">
      <c r="B35" s="1" t="s">
        <v>25</v>
      </c>
      <c r="C35" s="1">
        <f>2357</f>
        <v>2357</v>
      </c>
      <c r="G35" s="1">
        <v>830</v>
      </c>
      <c r="L35" s="1">
        <f>9595</f>
        <v>9595</v>
      </c>
      <c r="M35" s="1">
        <f>9047</f>
        <v>9047</v>
      </c>
      <c r="N35" s="1">
        <f>8872</f>
        <v>8872</v>
      </c>
      <c r="O35" s="1">
        <f t="shared" si="26"/>
        <v>830</v>
      </c>
    </row>
    <row r="36" spans="1:128" x14ac:dyDescent="0.2">
      <c r="B36" s="1" t="s">
        <v>26</v>
      </c>
      <c r="C36" s="1">
        <f>81</f>
        <v>81</v>
      </c>
      <c r="G36" s="1">
        <v>339</v>
      </c>
      <c r="L36" s="1">
        <f>576</f>
        <v>576</v>
      </c>
      <c r="M36" s="1">
        <f>-1158</f>
        <v>-1158</v>
      </c>
      <c r="N36" s="1">
        <f>893</f>
        <v>893</v>
      </c>
      <c r="O36" s="1">
        <f t="shared" si="26"/>
        <v>339</v>
      </c>
    </row>
    <row r="37" spans="1:128" x14ac:dyDescent="0.2">
      <c r="B37" s="1" t="s">
        <v>27</v>
      </c>
      <c r="C37" s="1">
        <f>SUM(C32:C36)</f>
        <v>20449</v>
      </c>
      <c r="D37" s="1">
        <f t="shared" ref="D37:L37" si="45">SUM(D32:D36)</f>
        <v>0</v>
      </c>
      <c r="E37" s="1">
        <f t="shared" si="45"/>
        <v>0</v>
      </c>
      <c r="F37" s="1">
        <f t="shared" si="45"/>
        <v>0</v>
      </c>
      <c r="G37" s="1">
        <f t="shared" si="45"/>
        <v>5198</v>
      </c>
      <c r="H37" s="1">
        <f t="shared" si="45"/>
        <v>1599.84</v>
      </c>
      <c r="I37" s="1">
        <f t="shared" ref="I37" si="46">SUM(I32:I36)</f>
        <v>1615.8383999999999</v>
      </c>
      <c r="J37" s="1">
        <f t="shared" ref="J37" si="47">SUM(J32:J36)</f>
        <v>1631.9967839999999</v>
      </c>
      <c r="L37" s="1">
        <f t="shared" si="45"/>
        <v>28309</v>
      </c>
      <c r="M37" s="1">
        <f t="shared" ref="M37" si="48">SUM(M32:M36)</f>
        <v>25873</v>
      </c>
      <c r="N37" s="1">
        <f t="shared" ref="N37" si="49">SUM(N32:N36)</f>
        <v>42701</v>
      </c>
      <c r="O37" s="1">
        <f t="shared" si="26"/>
        <v>10045.675184</v>
      </c>
      <c r="P37" s="1">
        <f t="shared" ref="P37" si="50">SUM(P32:P36)</f>
        <v>8750.56</v>
      </c>
      <c r="Q37" s="1">
        <f t="shared" ref="Q37" si="51">SUM(Q32:Q36)</f>
        <v>9100.5823999999993</v>
      </c>
      <c r="R37" s="1">
        <f t="shared" ref="R37" si="52">SUM(R32:R36)</f>
        <v>9464.6056959999987</v>
      </c>
      <c r="S37" s="1">
        <f t="shared" ref="S37" si="53">SUM(S32:S36)</f>
        <v>9843.1899238399983</v>
      </c>
      <c r="T37" s="1">
        <f t="shared" ref="T37" si="54">SUM(T32:T36)</f>
        <v>10236.917520793599</v>
      </c>
    </row>
    <row r="38" spans="1:128" x14ac:dyDescent="0.2">
      <c r="B38" s="1" t="s">
        <v>28</v>
      </c>
      <c r="C38" s="1">
        <f>C31-C37</f>
        <v>-11516</v>
      </c>
      <c r="D38" s="1">
        <f t="shared" ref="D38:L38" si="55">D31-D37</f>
        <v>0</v>
      </c>
      <c r="E38" s="1">
        <f t="shared" si="55"/>
        <v>0</v>
      </c>
      <c r="F38" s="1">
        <f t="shared" si="55"/>
        <v>0</v>
      </c>
      <c r="G38" s="1">
        <f t="shared" si="55"/>
        <v>2970</v>
      </c>
      <c r="H38" s="1">
        <f t="shared" si="55"/>
        <v>6847.4775000000009</v>
      </c>
      <c r="I38" s="1">
        <f t="shared" ref="I38" si="56">I31-I37</f>
        <v>6945.2742750000007</v>
      </c>
      <c r="J38" s="1">
        <f t="shared" ref="J38" si="57">J31-J37</f>
        <v>7044.9343027500008</v>
      </c>
      <c r="L38" s="1">
        <f t="shared" si="55"/>
        <v>7713</v>
      </c>
      <c r="M38" s="1">
        <f t="shared" ref="M38" si="58">M31-M37</f>
        <v>8440</v>
      </c>
      <c r="N38" s="1">
        <f t="shared" ref="N38" si="59">N31-N37</f>
        <v>-8369</v>
      </c>
      <c r="O38" s="1">
        <f t="shared" si="26"/>
        <v>23807.686077750001</v>
      </c>
      <c r="P38" s="1">
        <f t="shared" ref="P38" si="60">P31-P37</f>
        <v>28468.714999999997</v>
      </c>
      <c r="Q38" s="1">
        <f t="shared" ref="Q38" si="61">Q31-Q37</f>
        <v>29776.467399999994</v>
      </c>
      <c r="R38" s="1">
        <f t="shared" ref="R38" si="62">R31-R37</f>
        <v>19447.469828000001</v>
      </c>
      <c r="S38" s="1">
        <f t="shared" ref="S38" si="63">S31-S37</f>
        <v>12820.988927920005</v>
      </c>
      <c r="T38" s="1">
        <f t="shared" ref="T38" si="64">T31-T37</f>
        <v>13558.772542836807</v>
      </c>
    </row>
    <row r="39" spans="1:128" x14ac:dyDescent="0.2">
      <c r="B39" s="1" t="s">
        <v>31</v>
      </c>
      <c r="C39" s="1">
        <v>0</v>
      </c>
      <c r="G39" s="1">
        <v>0</v>
      </c>
      <c r="H39" s="1">
        <f>G50*$W$47/4</f>
        <v>-195.63499999999999</v>
      </c>
      <c r="I39" s="1">
        <f t="shared" ref="I39:J39" si="65">H50*$W$47/4</f>
        <v>-165.70170874999999</v>
      </c>
      <c r="J39" s="1">
        <f t="shared" si="65"/>
        <v>-135.193632201875</v>
      </c>
      <c r="O39" s="1">
        <f t="shared" si="26"/>
        <v>-496.53034095187496</v>
      </c>
      <c r="P39" s="1">
        <f>O50*$W$47</f>
        <v>-416.3991967376337</v>
      </c>
      <c r="Q39" s="1">
        <f t="shared" ref="Q39:T39" si="66">P50*$W$47</f>
        <v>32.437856114564127</v>
      </c>
      <c r="R39" s="1">
        <f t="shared" si="66"/>
        <v>509.38034021239707</v>
      </c>
      <c r="S39" s="1">
        <f t="shared" si="66"/>
        <v>828.68994290379544</v>
      </c>
      <c r="T39" s="1">
        <f t="shared" si="66"/>
        <v>1047.0848048369762</v>
      </c>
    </row>
    <row r="40" spans="1:128" x14ac:dyDescent="0.2">
      <c r="B40" s="1" t="s">
        <v>30</v>
      </c>
      <c r="C40" s="1">
        <f>C38+C39</f>
        <v>-11516</v>
      </c>
      <c r="D40" s="1">
        <f t="shared" ref="D40:L40" si="67">D38+D39</f>
        <v>0</v>
      </c>
      <c r="E40" s="1">
        <f t="shared" si="67"/>
        <v>0</v>
      </c>
      <c r="F40" s="1">
        <f t="shared" si="67"/>
        <v>0</v>
      </c>
      <c r="G40" s="1">
        <f t="shared" si="67"/>
        <v>2970</v>
      </c>
      <c r="H40" s="1">
        <f t="shared" si="67"/>
        <v>6651.8425000000007</v>
      </c>
      <c r="I40" s="1">
        <f t="shared" ref="I40" si="68">I38+I39</f>
        <v>6779.5725662500008</v>
      </c>
      <c r="J40" s="1">
        <f t="shared" ref="J40" si="69">J38+J39</f>
        <v>6909.7406705481262</v>
      </c>
      <c r="L40" s="1">
        <f t="shared" si="67"/>
        <v>7713</v>
      </c>
      <c r="M40" s="1">
        <f t="shared" ref="M40" si="70">M38+M39</f>
        <v>8440</v>
      </c>
      <c r="N40" s="1">
        <f t="shared" ref="N40" si="71">N38+N39</f>
        <v>-8369</v>
      </c>
      <c r="O40" s="1">
        <f t="shared" si="26"/>
        <v>23311.15573679813</v>
      </c>
      <c r="P40" s="1">
        <f t="shared" ref="P40" si="72">P38+P39</f>
        <v>28052.315803262361</v>
      </c>
      <c r="Q40" s="1">
        <f t="shared" ref="Q40" si="73">Q38+Q39</f>
        <v>29808.905256114558</v>
      </c>
      <c r="R40" s="1">
        <f t="shared" ref="R40" si="74">R38+R39</f>
        <v>19956.850168212397</v>
      </c>
      <c r="S40" s="1">
        <f t="shared" ref="S40" si="75">S38+S39</f>
        <v>13649.6788708238</v>
      </c>
      <c r="T40" s="1">
        <f t="shared" ref="T40" si="76">T38+T39</f>
        <v>14605.857347673784</v>
      </c>
    </row>
    <row r="41" spans="1:128" x14ac:dyDescent="0.2">
      <c r="B41" s="1" t="s">
        <v>29</v>
      </c>
      <c r="G41" s="1">
        <v>509</v>
      </c>
      <c r="H41" s="1">
        <f>H40*0.1</f>
        <v>665.18425000000013</v>
      </c>
      <c r="I41" s="1">
        <f t="shared" ref="I41:J41" si="77">I40*0.1</f>
        <v>677.95725662500013</v>
      </c>
      <c r="J41" s="1">
        <f t="shared" si="77"/>
        <v>690.97406705481262</v>
      </c>
      <c r="L41" s="1">
        <f>1368</f>
        <v>1368</v>
      </c>
      <c r="M41" s="1">
        <f>400</f>
        <v>400</v>
      </c>
      <c r="N41" s="1">
        <v>554</v>
      </c>
      <c r="O41" s="1">
        <f t="shared" si="26"/>
        <v>2543.1155736798128</v>
      </c>
      <c r="P41" s="1">
        <f>P40*0.2</f>
        <v>5610.4631606524727</v>
      </c>
      <c r="Q41" s="1">
        <f t="shared" ref="Q41:T41" si="78">Q40*0.2</f>
        <v>5961.7810512229116</v>
      </c>
      <c r="R41" s="1">
        <f t="shared" si="78"/>
        <v>3991.3700336424795</v>
      </c>
      <c r="S41" s="1">
        <f t="shared" si="78"/>
        <v>2729.93577416476</v>
      </c>
      <c r="T41" s="1">
        <f t="shared" si="78"/>
        <v>2921.1714695347569</v>
      </c>
    </row>
    <row r="42" spans="1:128" x14ac:dyDescent="0.2">
      <c r="B42" s="1" t="s">
        <v>32</v>
      </c>
      <c r="C42" s="1">
        <f>C40-C41</f>
        <v>-11516</v>
      </c>
      <c r="D42" s="1">
        <f t="shared" ref="D42:L42" si="79">D40-D41</f>
        <v>0</v>
      </c>
      <c r="E42" s="1">
        <f t="shared" si="79"/>
        <v>0</v>
      </c>
      <c r="F42" s="1">
        <f t="shared" si="79"/>
        <v>0</v>
      </c>
      <c r="G42" s="1">
        <f t="shared" si="79"/>
        <v>2461</v>
      </c>
      <c r="H42" s="1">
        <f t="shared" si="79"/>
        <v>5986.6582500000004</v>
      </c>
      <c r="I42" s="1">
        <f t="shared" ref="I42" si="80">I40-I41</f>
        <v>6101.6153096250009</v>
      </c>
      <c r="J42" s="1">
        <f t="shared" ref="J42" si="81">J40-J41</f>
        <v>6218.7666034933136</v>
      </c>
      <c r="L42" s="1">
        <f t="shared" si="79"/>
        <v>6345</v>
      </c>
      <c r="M42" s="1">
        <f t="shared" ref="M42" si="82">M40-M41</f>
        <v>8040</v>
      </c>
      <c r="N42" s="1">
        <f t="shared" ref="N42" si="83">N40-N41</f>
        <v>-8923</v>
      </c>
      <c r="O42" s="1">
        <f t="shared" si="26"/>
        <v>20768.040163118316</v>
      </c>
      <c r="P42" s="1">
        <f t="shared" ref="P42" si="84">P40-P41</f>
        <v>22441.852642609891</v>
      </c>
      <c r="Q42" s="1">
        <f t="shared" ref="Q42" si="85">Q40-Q41</f>
        <v>23847.124204891647</v>
      </c>
      <c r="R42" s="1">
        <f t="shared" ref="R42" si="86">R40-R41</f>
        <v>15965.480134569918</v>
      </c>
      <c r="S42" s="1">
        <f t="shared" ref="S42" si="87">S40-S41</f>
        <v>10919.74309665904</v>
      </c>
      <c r="T42" s="1">
        <f t="shared" ref="T42" si="88">T40-T41</f>
        <v>11684.685878139027</v>
      </c>
      <c r="U42" s="1">
        <f>T42*(1+$W$48)</f>
        <v>11567.839019357638</v>
      </c>
      <c r="V42" s="1">
        <f t="shared" ref="V42:CG42" si="89">U42*(1+$W$48)</f>
        <v>11452.160629164062</v>
      </c>
      <c r="W42" s="1">
        <f t="shared" si="89"/>
        <v>11337.639022872421</v>
      </c>
      <c r="X42" s="1">
        <f t="shared" si="89"/>
        <v>11224.262632643697</v>
      </c>
      <c r="Y42" s="1">
        <f t="shared" si="89"/>
        <v>11112.02000631726</v>
      </c>
      <c r="Z42" s="1">
        <f t="shared" si="89"/>
        <v>11000.899806254087</v>
      </c>
      <c r="AA42" s="1">
        <f t="shared" si="89"/>
        <v>10890.890808191545</v>
      </c>
      <c r="AB42" s="1">
        <f t="shared" si="89"/>
        <v>10781.981900109629</v>
      </c>
      <c r="AC42" s="1">
        <f t="shared" si="89"/>
        <v>10674.162081108532</v>
      </c>
      <c r="AD42" s="1">
        <f t="shared" si="89"/>
        <v>10567.420460297446</v>
      </c>
      <c r="AE42" s="1">
        <f t="shared" si="89"/>
        <v>10461.746255694472</v>
      </c>
      <c r="AF42" s="1">
        <f t="shared" si="89"/>
        <v>10357.128793137526</v>
      </c>
      <c r="AG42" s="1">
        <f t="shared" si="89"/>
        <v>10253.55750520615</v>
      </c>
      <c r="AH42" s="1">
        <f t="shared" si="89"/>
        <v>10151.021930154089</v>
      </c>
      <c r="AI42" s="1">
        <f t="shared" si="89"/>
        <v>10049.511710852548</v>
      </c>
      <c r="AJ42" s="1">
        <f t="shared" si="89"/>
        <v>9949.0165937440233</v>
      </c>
      <c r="AK42" s="1">
        <f t="shared" si="89"/>
        <v>9849.5264278065824</v>
      </c>
      <c r="AL42" s="1">
        <f t="shared" si="89"/>
        <v>9751.0311635285161</v>
      </c>
      <c r="AM42" s="1">
        <f t="shared" si="89"/>
        <v>9653.5208518932304</v>
      </c>
      <c r="AN42" s="1">
        <f t="shared" si="89"/>
        <v>9556.9856433742989</v>
      </c>
      <c r="AO42" s="1">
        <f t="shared" si="89"/>
        <v>9461.4157869405553</v>
      </c>
      <c r="AP42" s="1">
        <f t="shared" si="89"/>
        <v>9366.8016290711494</v>
      </c>
      <c r="AQ42" s="1">
        <f t="shared" si="89"/>
        <v>9273.133612780437</v>
      </c>
      <c r="AR42" s="1">
        <f t="shared" si="89"/>
        <v>9180.4022766526323</v>
      </c>
      <c r="AS42" s="1">
        <f t="shared" si="89"/>
        <v>9088.5982538861062</v>
      </c>
      <c r="AT42" s="1">
        <f t="shared" si="89"/>
        <v>8997.7122713472454</v>
      </c>
      <c r="AU42" s="1">
        <f t="shared" si="89"/>
        <v>8907.735148633772</v>
      </c>
      <c r="AV42" s="1">
        <f t="shared" si="89"/>
        <v>8818.6577971474344</v>
      </c>
      <c r="AW42" s="1">
        <f t="shared" si="89"/>
        <v>8730.4712191759609</v>
      </c>
      <c r="AX42" s="1">
        <f t="shared" si="89"/>
        <v>8643.166506984202</v>
      </c>
      <c r="AY42" s="1">
        <f t="shared" si="89"/>
        <v>8556.73484191436</v>
      </c>
      <c r="AZ42" s="1">
        <f t="shared" si="89"/>
        <v>8471.1674934952171</v>
      </c>
      <c r="BA42" s="1">
        <f t="shared" si="89"/>
        <v>8386.4558185602655</v>
      </c>
      <c r="BB42" s="1">
        <f t="shared" si="89"/>
        <v>8302.5912603746619</v>
      </c>
      <c r="BC42" s="1">
        <f t="shared" si="89"/>
        <v>8219.5653477709147</v>
      </c>
      <c r="BD42" s="1">
        <f t="shared" si="89"/>
        <v>8137.3696942932056</v>
      </c>
      <c r="BE42" s="1">
        <f t="shared" si="89"/>
        <v>8055.9959973502737</v>
      </c>
      <c r="BF42" s="1">
        <f t="shared" si="89"/>
        <v>7975.4360373767713</v>
      </c>
      <c r="BG42" s="1">
        <f t="shared" si="89"/>
        <v>7895.6816770030036</v>
      </c>
      <c r="BH42" s="1">
        <f t="shared" si="89"/>
        <v>7816.7248602329737</v>
      </c>
      <c r="BI42" s="1">
        <f t="shared" si="89"/>
        <v>7738.5576116306438</v>
      </c>
      <c r="BJ42" s="1">
        <f t="shared" si="89"/>
        <v>7661.172035514337</v>
      </c>
      <c r="BK42" s="1">
        <f t="shared" si="89"/>
        <v>7584.560315159194</v>
      </c>
      <c r="BL42" s="1">
        <f t="shared" si="89"/>
        <v>7508.7147120076024</v>
      </c>
      <c r="BM42" s="1">
        <f t="shared" si="89"/>
        <v>7433.6275648875262</v>
      </c>
      <c r="BN42" s="1">
        <f t="shared" si="89"/>
        <v>7359.2912892386512</v>
      </c>
      <c r="BO42" s="1">
        <f t="shared" si="89"/>
        <v>7285.6983763462649</v>
      </c>
      <c r="BP42" s="1">
        <f t="shared" si="89"/>
        <v>7212.8413925828027</v>
      </c>
      <c r="BQ42" s="1">
        <f t="shared" si="89"/>
        <v>7140.7129786569749</v>
      </c>
      <c r="BR42" s="1">
        <f t="shared" si="89"/>
        <v>7069.3058488704055</v>
      </c>
      <c r="BS42" s="1">
        <f t="shared" si="89"/>
        <v>6998.6127903817014</v>
      </c>
      <c r="BT42" s="1">
        <f t="shared" si="89"/>
        <v>6928.6266624778846</v>
      </c>
      <c r="BU42" s="1">
        <f t="shared" si="89"/>
        <v>6859.3403958531053</v>
      </c>
      <c r="BV42" s="1">
        <f t="shared" si="89"/>
        <v>6790.7469918945744</v>
      </c>
      <c r="BW42" s="1">
        <f t="shared" si="89"/>
        <v>6722.8395219756285</v>
      </c>
      <c r="BX42" s="1">
        <f t="shared" si="89"/>
        <v>6655.6111267558717</v>
      </c>
      <c r="BY42" s="1">
        <f t="shared" si="89"/>
        <v>6589.0550154883131</v>
      </c>
      <c r="BZ42" s="1">
        <f t="shared" si="89"/>
        <v>6523.1644653334297</v>
      </c>
      <c r="CA42" s="1">
        <f t="shared" si="89"/>
        <v>6457.9328206800956</v>
      </c>
      <c r="CB42" s="1">
        <f t="shared" si="89"/>
        <v>6393.3534924732949</v>
      </c>
      <c r="CC42" s="1">
        <f t="shared" si="89"/>
        <v>6329.4199575485618</v>
      </c>
      <c r="CD42" s="1">
        <f t="shared" si="89"/>
        <v>6266.1257579730764</v>
      </c>
      <c r="CE42" s="1">
        <f t="shared" si="89"/>
        <v>6203.4645003933456</v>
      </c>
      <c r="CF42" s="1">
        <f t="shared" si="89"/>
        <v>6141.4298553894123</v>
      </c>
      <c r="CG42" s="1">
        <f t="shared" si="89"/>
        <v>6080.0155568355185</v>
      </c>
      <c r="CH42" s="1">
        <f t="shared" ref="CH42:DX42" si="90">CG42*(1+$W$48)</f>
        <v>6019.2154012671635</v>
      </c>
      <c r="CI42" s="1">
        <f t="shared" si="90"/>
        <v>5959.0232472544922</v>
      </c>
      <c r="CJ42" s="1">
        <f t="shared" si="90"/>
        <v>5899.4330147819473</v>
      </c>
      <c r="CK42" s="1">
        <f t="shared" si="90"/>
        <v>5840.4386846341276</v>
      </c>
      <c r="CL42" s="1">
        <f t="shared" si="90"/>
        <v>5782.0342977877863</v>
      </c>
      <c r="CM42" s="1">
        <f t="shared" si="90"/>
        <v>5724.2139548099085</v>
      </c>
      <c r="CN42" s="1">
        <f t="shared" si="90"/>
        <v>5666.9718152618098</v>
      </c>
      <c r="CO42" s="1">
        <f t="shared" si="90"/>
        <v>5610.3020971091919</v>
      </c>
      <c r="CP42" s="1">
        <f t="shared" si="90"/>
        <v>5554.1990761381003</v>
      </c>
      <c r="CQ42" s="1">
        <f t="shared" si="90"/>
        <v>5498.6570853767189</v>
      </c>
      <c r="CR42" s="1">
        <f t="shared" si="90"/>
        <v>5443.6705145229516</v>
      </c>
      <c r="CS42" s="1">
        <f t="shared" si="90"/>
        <v>5389.2338093777216</v>
      </c>
      <c r="CT42" s="1">
        <f t="shared" si="90"/>
        <v>5335.341471283944</v>
      </c>
      <c r="CU42" s="1">
        <f t="shared" si="90"/>
        <v>5281.9880565711046</v>
      </c>
      <c r="CV42" s="1">
        <f t="shared" si="90"/>
        <v>5229.1681760053934</v>
      </c>
      <c r="CW42" s="1">
        <f t="shared" si="90"/>
        <v>5176.876494245339</v>
      </c>
      <c r="CX42" s="1">
        <f t="shared" si="90"/>
        <v>5125.1077293028857</v>
      </c>
      <c r="CY42" s="1">
        <f t="shared" si="90"/>
        <v>5073.8566520098566</v>
      </c>
      <c r="CZ42" s="1">
        <f t="shared" si="90"/>
        <v>5023.1180854897584</v>
      </c>
      <c r="DA42" s="1">
        <f t="shared" si="90"/>
        <v>4972.8869046348609</v>
      </c>
      <c r="DB42" s="1">
        <f t="shared" si="90"/>
        <v>4923.1580355885126</v>
      </c>
      <c r="DC42" s="1">
        <f t="shared" si="90"/>
        <v>4873.9264552326276</v>
      </c>
      <c r="DD42" s="1">
        <f t="shared" si="90"/>
        <v>4825.1871906803017</v>
      </c>
      <c r="DE42" s="1">
        <f t="shared" si="90"/>
        <v>4776.9353187734987</v>
      </c>
      <c r="DF42" s="1">
        <f t="shared" si="90"/>
        <v>4729.1659655857638</v>
      </c>
      <c r="DG42" s="1">
        <f t="shared" si="90"/>
        <v>4681.8743059299059</v>
      </c>
      <c r="DH42" s="1">
        <f t="shared" si="90"/>
        <v>4635.055562870607</v>
      </c>
      <c r="DI42" s="1">
        <f t="shared" si="90"/>
        <v>4588.7050072419006</v>
      </c>
      <c r="DJ42" s="1">
        <f t="shared" si="90"/>
        <v>4542.8179571694818</v>
      </c>
      <c r="DK42" s="1">
        <f t="shared" si="90"/>
        <v>4497.3897775977866</v>
      </c>
      <c r="DL42" s="1">
        <f t="shared" si="90"/>
        <v>4452.4158798218086</v>
      </c>
      <c r="DM42" s="1">
        <f t="shared" si="90"/>
        <v>4407.8917210235904</v>
      </c>
      <c r="DN42" s="1">
        <f t="shared" si="90"/>
        <v>4363.8128038133545</v>
      </c>
      <c r="DO42" s="1">
        <f t="shared" si="90"/>
        <v>4320.1746757752207</v>
      </c>
      <c r="DP42" s="1">
        <f t="shared" si="90"/>
        <v>4276.9729290174682</v>
      </c>
      <c r="DQ42" s="1">
        <f t="shared" si="90"/>
        <v>4234.2031997272934</v>
      </c>
      <c r="DR42" s="1">
        <f t="shared" si="90"/>
        <v>4191.8611677300205</v>
      </c>
      <c r="DS42" s="1">
        <f t="shared" si="90"/>
        <v>4149.9425560527206</v>
      </c>
      <c r="DT42" s="1">
        <f t="shared" si="90"/>
        <v>4108.4431304921936</v>
      </c>
      <c r="DU42" s="1">
        <f t="shared" si="90"/>
        <v>4067.3586991872717</v>
      </c>
      <c r="DV42" s="1">
        <f t="shared" si="90"/>
        <v>4026.6851121953991</v>
      </c>
      <c r="DW42" s="1">
        <f t="shared" si="90"/>
        <v>3986.4182610734451</v>
      </c>
      <c r="DX42" s="1">
        <f t="shared" si="90"/>
        <v>3946.5540784627105</v>
      </c>
    </row>
    <row r="43" spans="1:128" x14ac:dyDescent="0.2">
      <c r="B43" s="1" t="s">
        <v>5</v>
      </c>
      <c r="C43" s="1">
        <f>C42/C44</f>
        <v>1955.1782682512735</v>
      </c>
      <c r="G43" s="1">
        <v>2035.08</v>
      </c>
      <c r="H43" s="1">
        <v>2035.08</v>
      </c>
      <c r="I43" s="1">
        <v>2035.08</v>
      </c>
      <c r="J43" s="1">
        <v>2035.08</v>
      </c>
      <c r="L43" s="1">
        <f>L42/L44</f>
        <v>2136.363636363636</v>
      </c>
      <c r="M43" s="1">
        <f>M42/M44</f>
        <v>2072.1649484536083</v>
      </c>
      <c r="N43" s="1">
        <f>2029.312</f>
        <v>2029.3119999999999</v>
      </c>
      <c r="O43" s="1">
        <f>J43</f>
        <v>2035.08</v>
      </c>
      <c r="P43" s="1">
        <f>O43</f>
        <v>2035.08</v>
      </c>
      <c r="Q43" s="1">
        <f t="shared" ref="Q43:T43" si="91">P43</f>
        <v>2035.08</v>
      </c>
      <c r="R43" s="1">
        <f t="shared" si="91"/>
        <v>2035.08</v>
      </c>
      <c r="S43" s="1">
        <f t="shared" si="91"/>
        <v>2035.08</v>
      </c>
      <c r="T43" s="1">
        <f t="shared" si="91"/>
        <v>2035.08</v>
      </c>
    </row>
    <row r="44" spans="1:128" x14ac:dyDescent="0.2">
      <c r="B44" s="1" t="s">
        <v>33</v>
      </c>
      <c r="C44" s="7">
        <v>-5.89</v>
      </c>
      <c r="D44" s="1" t="e">
        <f>D42/D43</f>
        <v>#DIV/0!</v>
      </c>
      <c r="E44" s="1" t="e">
        <f>E42/E43</f>
        <v>#DIV/0!</v>
      </c>
      <c r="F44" s="1" t="e">
        <f>F42/F43</f>
        <v>#DIV/0!</v>
      </c>
      <c r="G44" s="7">
        <f>G42/G43</f>
        <v>1.209289069717161</v>
      </c>
      <c r="H44" s="7">
        <f>H42/H43</f>
        <v>2.9417311604457814</v>
      </c>
      <c r="I44" s="7">
        <f t="shared" ref="I44:J44" si="92">I42/I43</f>
        <v>2.9982188953874056</v>
      </c>
      <c r="J44" s="7">
        <f t="shared" si="92"/>
        <v>3.0557848357279882</v>
      </c>
      <c r="L44" s="7">
        <v>2.97</v>
      </c>
      <c r="M44" s="7">
        <v>3.88</v>
      </c>
      <c r="N44" s="7">
        <f t="shared" ref="N44:O44" si="93">N42/N43</f>
        <v>-4.3970567364702919</v>
      </c>
      <c r="O44" s="7">
        <f t="shared" si="93"/>
        <v>10.205023961278336</v>
      </c>
      <c r="P44" s="7">
        <f t="shared" ref="P44" si="94">P42/P43</f>
        <v>11.027503902848975</v>
      </c>
      <c r="Q44" s="7">
        <f t="shared" ref="Q44" si="95">Q42/Q43</f>
        <v>11.71802789319911</v>
      </c>
      <c r="R44" s="7">
        <f t="shared" ref="R44" si="96">R42/R43</f>
        <v>7.8451363752628485</v>
      </c>
      <c r="S44" s="7">
        <f t="shared" ref="S44" si="97">S42/S43</f>
        <v>5.3657561848472985</v>
      </c>
      <c r="T44" s="7">
        <f t="shared" ref="T44" si="98">T42/T43</f>
        <v>5.7416346670101559</v>
      </c>
    </row>
    <row r="46" spans="1:128" s="5" customFormat="1" x14ac:dyDescent="0.2">
      <c r="A46" s="1"/>
      <c r="B46" s="5" t="s">
        <v>34</v>
      </c>
      <c r="G46" s="8">
        <f>G29/C29-1</f>
        <v>-5.5962916139907337E-2</v>
      </c>
      <c r="H46" s="8" t="e">
        <f t="shared" ref="H46:J46" si="99">H29/D29-1</f>
        <v>#DIV/0!</v>
      </c>
      <c r="I46" s="8" t="e">
        <f t="shared" si="99"/>
        <v>#DIV/0!</v>
      </c>
      <c r="J46" s="8" t="e">
        <f t="shared" si="99"/>
        <v>#DIV/0!</v>
      </c>
      <c r="M46" s="8">
        <f t="shared" ref="M46:T46" si="100">M29/L29-1</f>
        <v>-2.4978877358694973E-2</v>
      </c>
      <c r="N46" s="8">
        <f t="shared" si="100"/>
        <v>7.3190241301159809E-2</v>
      </c>
      <c r="O46" s="8">
        <f t="shared" si="100"/>
        <v>-5.9044547639751532E-2</v>
      </c>
      <c r="P46" s="8">
        <f t="shared" si="100"/>
        <v>9.1919072674209623E-2</v>
      </c>
      <c r="Q46" s="8">
        <f t="shared" si="100"/>
        <v>4.4540760130335588E-2</v>
      </c>
      <c r="R46" s="8">
        <f t="shared" si="100"/>
        <v>-0.25632022818768518</v>
      </c>
      <c r="S46" s="8">
        <f t="shared" si="100"/>
        <v>-0.21609990147727709</v>
      </c>
      <c r="T46" s="8">
        <f t="shared" si="100"/>
        <v>4.9925091893745499E-2</v>
      </c>
    </row>
    <row r="47" spans="1:128" x14ac:dyDescent="0.2">
      <c r="B47" s="1" t="s">
        <v>35</v>
      </c>
      <c r="C47" s="3">
        <f>C31/C29-1</f>
        <v>-0.24711335861778339</v>
      </c>
      <c r="D47" s="3" t="e">
        <f>D31/D29-1</f>
        <v>#DIV/0!</v>
      </c>
      <c r="E47" s="3" t="e">
        <f>E31/E29-1</f>
        <v>#DIV/0!</v>
      </c>
      <c r="F47" s="3" t="e">
        <f>F31/F29-1</f>
        <v>#DIV/0!</v>
      </c>
      <c r="G47" s="3">
        <f>G31/G29-1</f>
        <v>-0.27077939469690204</v>
      </c>
      <c r="H47" s="3">
        <f t="shared" ref="H47:J47" si="101">H31/H29-1</f>
        <v>-0.25</v>
      </c>
      <c r="I47" s="3">
        <f t="shared" si="101"/>
        <v>-0.25000000000000011</v>
      </c>
      <c r="J47" s="3">
        <f t="shared" si="101"/>
        <v>-0.25</v>
      </c>
      <c r="L47" s="3">
        <f t="shared" ref="L47:T47" si="102">L31/L29</f>
        <v>0.78038952316991272</v>
      </c>
      <c r="M47" s="3">
        <f t="shared" si="102"/>
        <v>0.76240945651690883</v>
      </c>
      <c r="N47" s="3">
        <f t="shared" si="102"/>
        <v>0.71080745341614904</v>
      </c>
      <c r="O47" s="3">
        <f t="shared" si="102"/>
        <v>0.74487877925822865</v>
      </c>
      <c r="P47" s="3">
        <f t="shared" si="102"/>
        <v>0.74999999999999989</v>
      </c>
      <c r="Q47" s="3">
        <f t="shared" si="102"/>
        <v>0.74999999999999989</v>
      </c>
      <c r="R47" s="3">
        <f t="shared" si="102"/>
        <v>0.75</v>
      </c>
      <c r="S47" s="3">
        <f t="shared" si="102"/>
        <v>0.75</v>
      </c>
      <c r="T47" s="3">
        <f t="shared" si="102"/>
        <v>0.75</v>
      </c>
      <c r="V47" s="1" t="s">
        <v>53</v>
      </c>
      <c r="W47" s="3">
        <v>0.02</v>
      </c>
    </row>
    <row r="48" spans="1:128" x14ac:dyDescent="0.2">
      <c r="B48" s="1" t="s">
        <v>36</v>
      </c>
      <c r="G48" s="3">
        <f>G32/C32-1</f>
        <v>-0.33079847908745252</v>
      </c>
      <c r="H48" s="3" t="e">
        <f t="shared" ref="H48:J48" si="103">H32/D32-1</f>
        <v>#DIV/0!</v>
      </c>
      <c r="I48" s="3" t="e">
        <f t="shared" si="103"/>
        <v>#DIV/0!</v>
      </c>
      <c r="J48" s="3" t="e">
        <f t="shared" si="103"/>
        <v>#DIV/0!</v>
      </c>
      <c r="M48" s="3">
        <f t="shared" ref="M48:T48" si="104">M32/L32-1</f>
        <v>-5.3749680061427885E-3</v>
      </c>
      <c r="N48" s="3">
        <f t="shared" si="104"/>
        <v>8.2604220277920692E-2</v>
      </c>
      <c r="O48" s="3">
        <f t="shared" si="104"/>
        <v>-0.23559838554789636</v>
      </c>
      <c r="P48" s="3">
        <f t="shared" si="104"/>
        <v>0.36054134415380013</v>
      </c>
      <c r="Q48" s="3">
        <f t="shared" si="104"/>
        <v>4.0000000000000036E-2</v>
      </c>
      <c r="R48" s="3">
        <f t="shared" si="104"/>
        <v>4.0000000000000036E-2</v>
      </c>
      <c r="S48" s="3">
        <f t="shared" si="104"/>
        <v>4.0000000000000036E-2</v>
      </c>
      <c r="T48" s="3">
        <f t="shared" si="104"/>
        <v>4.0000000000000036E-2</v>
      </c>
      <c r="V48" s="1" t="s">
        <v>54</v>
      </c>
      <c r="W48" s="3">
        <v>-0.01</v>
      </c>
    </row>
    <row r="49" spans="2:23" x14ac:dyDescent="0.2">
      <c r="M49" s="7"/>
      <c r="V49" s="1" t="s">
        <v>55</v>
      </c>
      <c r="W49" s="3">
        <v>0.08</v>
      </c>
    </row>
    <row r="50" spans="2:23" x14ac:dyDescent="0.2">
      <c r="B50" s="1" t="s">
        <v>37</v>
      </c>
      <c r="G50" s="1">
        <f>SUM(G51:G52)-SUM(G66:G68)</f>
        <v>-39127</v>
      </c>
      <c r="H50" s="1">
        <f>G50+H42</f>
        <v>-33140.34175</v>
      </c>
      <c r="I50" s="1">
        <f t="shared" ref="I50:J50" si="105">H50+I42</f>
        <v>-27038.726440374998</v>
      </c>
      <c r="J50" s="1">
        <f t="shared" si="105"/>
        <v>-20819.959836881684</v>
      </c>
      <c r="L50" s="1">
        <f>SUM(L51:L52)-SUM(L66:L68)</f>
        <v>0</v>
      </c>
      <c r="M50" s="1">
        <f>SUM(M51:M52)-SUM(M67:M68)</f>
        <v>-30794</v>
      </c>
      <c r="N50" s="1">
        <f>SUM(N51:N52)-SUM(N67:N68)</f>
        <v>-41113</v>
      </c>
      <c r="O50" s="1">
        <f>J50</f>
        <v>-20819.959836881684</v>
      </c>
      <c r="P50" s="1">
        <f>O50+P42</f>
        <v>1621.8928057282064</v>
      </c>
      <c r="Q50" s="1">
        <f>P50+Q42</f>
        <v>25469.017010619853</v>
      </c>
      <c r="R50" s="1">
        <f>Q50+R42</f>
        <v>41434.497145189773</v>
      </c>
      <c r="S50" s="1">
        <f>R50+S42</f>
        <v>52354.240241848813</v>
      </c>
      <c r="T50" s="1">
        <f>S50+T42</f>
        <v>64038.926119987838</v>
      </c>
      <c r="V50" s="1" t="s">
        <v>56</v>
      </c>
      <c r="W50" s="1">
        <f>NPV(W49,O42:XFD42)+Main!L5-Main!L6</f>
        <v>125792.74322998783</v>
      </c>
    </row>
    <row r="51" spans="2:23" x14ac:dyDescent="0.2">
      <c r="B51" s="1" t="s">
        <v>7</v>
      </c>
      <c r="G51" s="1">
        <f>10875</f>
        <v>10875</v>
      </c>
      <c r="M51" s="1">
        <f>11464</f>
        <v>11464</v>
      </c>
      <c r="N51" s="1">
        <f>10346</f>
        <v>10346</v>
      </c>
      <c r="V51" s="1" t="s">
        <v>57</v>
      </c>
      <c r="W51" s="7">
        <f>W50/Main!L3</f>
        <v>61.812185874750789</v>
      </c>
    </row>
    <row r="52" spans="2:23" x14ac:dyDescent="0.2">
      <c r="B52" s="1" t="s">
        <v>51</v>
      </c>
      <c r="G52" s="1">
        <f>907</f>
        <v>907</v>
      </c>
      <c r="M52" s="1">
        <f>816</f>
        <v>816</v>
      </c>
      <c r="N52" s="1">
        <f>513</f>
        <v>513</v>
      </c>
      <c r="W52" s="3">
        <f>W51/Main!L2-1</f>
        <v>0.28775387239064143</v>
      </c>
    </row>
    <row r="53" spans="2:23" x14ac:dyDescent="0.2">
      <c r="B53" s="1" t="s">
        <v>38</v>
      </c>
      <c r="G53" s="1">
        <v>10801</v>
      </c>
      <c r="M53" s="1">
        <f>10921</f>
        <v>10921</v>
      </c>
      <c r="N53" s="1">
        <f>10747</f>
        <v>10747</v>
      </c>
    </row>
    <row r="54" spans="2:23" x14ac:dyDescent="0.2">
      <c r="B54" s="1" t="s">
        <v>39</v>
      </c>
      <c r="G54" s="1">
        <v>2666</v>
      </c>
      <c r="M54" s="1">
        <f>2662</f>
        <v>2662</v>
      </c>
      <c r="N54" s="1">
        <f>2557</f>
        <v>2557</v>
      </c>
    </row>
    <row r="55" spans="2:23" x14ac:dyDescent="0.2">
      <c r="B55" s="1" t="s">
        <v>40</v>
      </c>
      <c r="G55" s="1">
        <v>7213</v>
      </c>
      <c r="M55" s="1">
        <f>6646</f>
        <v>6646</v>
      </c>
      <c r="N55" s="1">
        <f>7136</f>
        <v>7136</v>
      </c>
      <c r="U55" s="3"/>
    </row>
    <row r="56" spans="2:23" x14ac:dyDescent="0.2">
      <c r="B56" s="1" t="s">
        <v>41</v>
      </c>
      <c r="G56" s="1">
        <v>21737</v>
      </c>
      <c r="M56" s="1">
        <f>21169</f>
        <v>21169</v>
      </c>
      <c r="N56" s="1">
        <f>21719</f>
        <v>21719</v>
      </c>
    </row>
    <row r="57" spans="2:23" x14ac:dyDescent="0.2">
      <c r="B57" s="1" t="s">
        <v>42</v>
      </c>
      <c r="G57" s="1">
        <v>22486</v>
      </c>
      <c r="M57" s="1">
        <f>27072</f>
        <v>27072</v>
      </c>
      <c r="N57" s="1">
        <f>23307</f>
        <v>23307</v>
      </c>
    </row>
    <row r="58" spans="2:23" x14ac:dyDescent="0.2">
      <c r="B58" s="1" t="s">
        <v>46</v>
      </c>
      <c r="M58" s="1">
        <f>2768</f>
        <v>2768</v>
      </c>
      <c r="N58" s="1">
        <f>4236</f>
        <v>4236</v>
      </c>
    </row>
    <row r="59" spans="2:23" x14ac:dyDescent="0.2">
      <c r="B59" s="1" t="s">
        <v>50</v>
      </c>
      <c r="G59" s="1">
        <f>344</f>
        <v>344</v>
      </c>
      <c r="M59" s="1">
        <f>364</f>
        <v>364</v>
      </c>
      <c r="N59" s="1">
        <f>320</f>
        <v>320</v>
      </c>
    </row>
    <row r="60" spans="2:23" x14ac:dyDescent="0.2">
      <c r="B60" s="1" t="s">
        <v>43</v>
      </c>
      <c r="G60" s="1">
        <f>5534+5866</f>
        <v>11400</v>
      </c>
      <c r="M60" s="1">
        <f>5370+5907</f>
        <v>11277</v>
      </c>
      <c r="N60" s="1">
        <f>6105+5617</f>
        <v>11722</v>
      </c>
    </row>
    <row r="61" spans="2:23" x14ac:dyDescent="0.2">
      <c r="B61" s="1" t="s">
        <v>44</v>
      </c>
      <c r="G61" s="1">
        <f>SUM(G51:G60)</f>
        <v>88429</v>
      </c>
      <c r="H61" s="1">
        <f>SUM(H51:H60)</f>
        <v>0</v>
      </c>
      <c r="I61" s="1">
        <f>SUM(I51:I60)</f>
        <v>0</v>
      </c>
      <c r="J61" s="1">
        <f>SUM(J51:J60)</f>
        <v>0</v>
      </c>
      <c r="L61" s="1">
        <f>SUM(L51:L60)</f>
        <v>0</v>
      </c>
      <c r="M61" s="1">
        <f>SUM(M51:M60)</f>
        <v>95159</v>
      </c>
      <c r="N61" s="1">
        <f>SUM(N51:N60)</f>
        <v>92603</v>
      </c>
    </row>
    <row r="63" spans="2:23" x14ac:dyDescent="0.2">
      <c r="B63" s="1" t="s">
        <v>52</v>
      </c>
      <c r="G63" s="1">
        <f>3554</f>
        <v>3554</v>
      </c>
      <c r="M63" s="1">
        <f>3119</f>
        <v>3119</v>
      </c>
      <c r="N63" s="1">
        <f>2046</f>
        <v>2046</v>
      </c>
    </row>
    <row r="64" spans="2:23" x14ac:dyDescent="0.2">
      <c r="B64" s="1" t="s">
        <v>45</v>
      </c>
      <c r="G64" s="1">
        <f>4002</f>
        <v>4002</v>
      </c>
      <c r="M64" s="1">
        <f>3259</f>
        <v>3259</v>
      </c>
      <c r="N64" s="1">
        <f>3602</f>
        <v>3602</v>
      </c>
    </row>
    <row r="65" spans="2:14" x14ac:dyDescent="0.2">
      <c r="B65" s="1" t="s">
        <v>65</v>
      </c>
      <c r="G65" s="1">
        <f>16514</f>
        <v>16514</v>
      </c>
      <c r="M65" s="1">
        <f>15884</f>
        <v>15884</v>
      </c>
      <c r="N65" s="1">
        <f>18126</f>
        <v>18126</v>
      </c>
    </row>
    <row r="66" spans="2:14" x14ac:dyDescent="0.2">
      <c r="B66" s="1" t="s">
        <v>46</v>
      </c>
      <c r="G66" s="1">
        <f>276</f>
        <v>276</v>
      </c>
      <c r="M66" s="1">
        <f>338</f>
        <v>338</v>
      </c>
      <c r="N66" s="1">
        <f>369</f>
        <v>369</v>
      </c>
    </row>
    <row r="67" spans="2:14" x14ac:dyDescent="0.2">
      <c r="B67" s="1" t="s">
        <v>8</v>
      </c>
      <c r="G67" s="1">
        <f>46156</f>
        <v>46156</v>
      </c>
      <c r="M67" s="1">
        <f>36653</f>
        <v>36653</v>
      </c>
      <c r="N67" s="1">
        <f>47503</f>
        <v>47503</v>
      </c>
    </row>
    <row r="68" spans="2:14" x14ac:dyDescent="0.2">
      <c r="B68" s="1" t="s">
        <v>64</v>
      </c>
      <c r="G68" s="1">
        <f>4477</f>
        <v>4477</v>
      </c>
      <c r="M68" s="1">
        <f>6421</f>
        <v>6421</v>
      </c>
      <c r="N68" s="1">
        <f>4469</f>
        <v>4469</v>
      </c>
    </row>
    <row r="69" spans="2:14" x14ac:dyDescent="0.2">
      <c r="B69" s="1" t="s">
        <v>47</v>
      </c>
      <c r="G69" s="1">
        <f>SUM(G63:G68)</f>
        <v>74979</v>
      </c>
      <c r="M69" s="1">
        <f>SUM(M63:M68)</f>
        <v>65674</v>
      </c>
      <c r="N69" s="1">
        <f>SUM(N63:N68)</f>
        <v>76115</v>
      </c>
    </row>
    <row r="70" spans="2:14" x14ac:dyDescent="0.2">
      <c r="B70" s="1" t="s">
        <v>49</v>
      </c>
      <c r="G70" s="1">
        <f>G61-G69</f>
        <v>13450</v>
      </c>
      <c r="M70" s="1">
        <f>M61-M69</f>
        <v>29485</v>
      </c>
      <c r="N70" s="1">
        <f>N61-N69</f>
        <v>16488</v>
      </c>
    </row>
    <row r="71" spans="2:14" x14ac:dyDescent="0.2">
      <c r="B71" s="1" t="s">
        <v>48</v>
      </c>
      <c r="G71" s="1">
        <f>G69+G70</f>
        <v>88429</v>
      </c>
      <c r="M71" s="1">
        <f>M69+M70</f>
        <v>95159</v>
      </c>
      <c r="N71" s="1">
        <f>N69+N70</f>
        <v>92603</v>
      </c>
    </row>
  </sheetData>
  <hyperlinks>
    <hyperlink ref="A1" location="Main!A1" display="Main" xr:uid="{6D82F414-5457-4E9C-B6E0-97117D87A8AE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Q26"/>
  <sheetViews>
    <sheetView zoomScale="160" zoomScaleNormal="160" workbookViewId="0">
      <selection activeCell="A12" sqref="A12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6" t="s">
        <v>16</v>
      </c>
    </row>
    <row r="2" spans="1:3" x14ac:dyDescent="0.2">
      <c r="B2" t="s">
        <v>141</v>
      </c>
    </row>
    <row r="3" spans="1:3" x14ac:dyDescent="0.2">
      <c r="B3" t="s">
        <v>142</v>
      </c>
      <c r="C3" t="s">
        <v>80</v>
      </c>
    </row>
    <row r="4" spans="1:3" x14ac:dyDescent="0.2">
      <c r="B4" t="s">
        <v>0</v>
      </c>
      <c r="C4" t="s">
        <v>146</v>
      </c>
    </row>
    <row r="5" spans="1:3" x14ac:dyDescent="0.2">
      <c r="B5" t="s">
        <v>1</v>
      </c>
      <c r="C5" t="s">
        <v>148</v>
      </c>
    </row>
    <row r="6" spans="1:3" x14ac:dyDescent="0.2">
      <c r="B6" t="s">
        <v>140</v>
      </c>
    </row>
    <row r="7" spans="1:3" x14ac:dyDescent="0.2">
      <c r="B7" t="s">
        <v>143</v>
      </c>
      <c r="C7" t="s">
        <v>151</v>
      </c>
    </row>
    <row r="8" spans="1:3" x14ac:dyDescent="0.2">
      <c r="B8" t="s">
        <v>133</v>
      </c>
    </row>
    <row r="9" spans="1:3" x14ac:dyDescent="0.2">
      <c r="C9" s="28" t="s">
        <v>134</v>
      </c>
    </row>
    <row r="14" spans="1:3" x14ac:dyDescent="0.2">
      <c r="C14" s="28" t="s">
        <v>135</v>
      </c>
    </row>
    <row r="18" spans="1:17" x14ac:dyDescent="0.2">
      <c r="C18">
        <v>2024</v>
      </c>
      <c r="D18">
        <f>C18+1</f>
        <v>2025</v>
      </c>
      <c r="E18">
        <f t="shared" ref="E18:M18" si="0">D18+1</f>
        <v>2026</v>
      </c>
      <c r="F18">
        <f t="shared" si="0"/>
        <v>2027</v>
      </c>
      <c r="G18">
        <f t="shared" si="0"/>
        <v>2028</v>
      </c>
      <c r="H18">
        <f t="shared" si="0"/>
        <v>2029</v>
      </c>
      <c r="I18">
        <f t="shared" si="0"/>
        <v>2030</v>
      </c>
      <c r="J18">
        <f t="shared" si="0"/>
        <v>2031</v>
      </c>
      <c r="K18">
        <f t="shared" si="0"/>
        <v>2032</v>
      </c>
      <c r="L18">
        <f t="shared" si="0"/>
        <v>2033</v>
      </c>
      <c r="M18">
        <f t="shared" si="0"/>
        <v>2034</v>
      </c>
      <c r="N18">
        <f t="shared" ref="N18" si="1">M18+1</f>
        <v>2035</v>
      </c>
      <c r="O18">
        <f t="shared" ref="O18" si="2">N18+1</f>
        <v>2036</v>
      </c>
      <c r="P18">
        <f t="shared" ref="P18" si="3">O18+1</f>
        <v>2037</v>
      </c>
      <c r="Q18">
        <f t="shared" ref="Q18" si="4">P18+1</f>
        <v>2038</v>
      </c>
    </row>
    <row r="19" spans="1:17" x14ac:dyDescent="0.2">
      <c r="B19" t="s">
        <v>149</v>
      </c>
      <c r="C19" s="1">
        <v>18228</v>
      </c>
      <c r="D19" s="1">
        <f>C19*1.03</f>
        <v>18774.84</v>
      </c>
      <c r="E19" s="1">
        <f t="shared" ref="E19:M19" si="5">D19*1.03</f>
        <v>19338.085200000001</v>
      </c>
      <c r="F19" s="1">
        <f t="shared" si="5"/>
        <v>19918.227756</v>
      </c>
      <c r="G19" s="1">
        <f t="shared" si="5"/>
        <v>20515.77458868</v>
      </c>
      <c r="H19" s="1">
        <f t="shared" si="5"/>
        <v>21131.247826340401</v>
      </c>
      <c r="I19" s="1">
        <f t="shared" si="5"/>
        <v>21765.185261130613</v>
      </c>
      <c r="J19" s="1">
        <f t="shared" si="5"/>
        <v>22418.140818964534</v>
      </c>
      <c r="K19" s="1">
        <f t="shared" si="5"/>
        <v>23090.685043533471</v>
      </c>
      <c r="L19" s="1">
        <f t="shared" si="5"/>
        <v>23783.405594839474</v>
      </c>
      <c r="M19" s="1">
        <f t="shared" si="5"/>
        <v>24496.907762684659</v>
      </c>
      <c r="N19" s="1">
        <f t="shared" ref="N19" si="6">M19*1.03</f>
        <v>25231.814995565201</v>
      </c>
      <c r="O19" s="1">
        <f t="shared" ref="O19" si="7">N19*1.03</f>
        <v>25988.769445432157</v>
      </c>
      <c r="P19" s="1">
        <f t="shared" ref="P19" si="8">O19*1.03</f>
        <v>26768.432528795121</v>
      </c>
      <c r="Q19" s="1">
        <f t="shared" ref="Q19" si="9">P19*1.03</f>
        <v>27571.485504658976</v>
      </c>
    </row>
    <row r="20" spans="1:17" x14ac:dyDescent="0.2">
      <c r="B20" t="s">
        <v>150</v>
      </c>
      <c r="C20" s="1">
        <v>18228</v>
      </c>
      <c r="D20" s="1">
        <f>D19</f>
        <v>18774.84</v>
      </c>
      <c r="E20" s="1">
        <f t="shared" ref="E20:M20" si="10">E19</f>
        <v>19338.085200000001</v>
      </c>
      <c r="F20" s="1">
        <f t="shared" si="10"/>
        <v>19918.227756</v>
      </c>
      <c r="G20" s="1">
        <f t="shared" si="10"/>
        <v>20515.77458868</v>
      </c>
      <c r="H20" s="1">
        <f t="shared" si="10"/>
        <v>21131.247826340401</v>
      </c>
      <c r="I20" s="1">
        <f t="shared" si="10"/>
        <v>21765.185261130613</v>
      </c>
      <c r="J20" s="1">
        <f t="shared" si="10"/>
        <v>22418.140818964534</v>
      </c>
      <c r="K20" s="1">
        <f t="shared" si="10"/>
        <v>23090.685043533471</v>
      </c>
      <c r="L20" s="1">
        <f t="shared" si="10"/>
        <v>23783.405594839474</v>
      </c>
      <c r="M20" s="1">
        <f t="shared" si="10"/>
        <v>24496.907762684659</v>
      </c>
      <c r="N20" s="1">
        <f t="shared" ref="N20:Q20" si="11">N19</f>
        <v>25231.814995565201</v>
      </c>
      <c r="O20" s="1">
        <f t="shared" si="11"/>
        <v>25988.769445432157</v>
      </c>
      <c r="P20" s="1">
        <f t="shared" si="11"/>
        <v>26768.432528795121</v>
      </c>
      <c r="Q20" s="1">
        <f t="shared" si="11"/>
        <v>27571.485504658976</v>
      </c>
    </row>
    <row r="21" spans="1:17" x14ac:dyDescent="0.2">
      <c r="B21" t="s">
        <v>4</v>
      </c>
      <c r="C21" s="1"/>
      <c r="D21" s="1"/>
      <c r="E21" s="1"/>
      <c r="F21" s="1">
        <v>60000</v>
      </c>
      <c r="G21" s="1">
        <v>60000</v>
      </c>
      <c r="H21" s="1">
        <v>60000</v>
      </c>
      <c r="I21" s="1">
        <v>60000</v>
      </c>
      <c r="J21" s="1">
        <v>60000</v>
      </c>
      <c r="K21" s="1">
        <v>60000</v>
      </c>
      <c r="L21" s="1">
        <v>60000</v>
      </c>
      <c r="M21" s="1">
        <v>60000</v>
      </c>
      <c r="N21" s="1">
        <v>60000</v>
      </c>
      <c r="O21" s="1">
        <v>60000</v>
      </c>
      <c r="P21" s="1">
        <v>60000</v>
      </c>
      <c r="Q21" s="1">
        <v>60000</v>
      </c>
    </row>
    <row r="22" spans="1:17" s="27" customFormat="1" x14ac:dyDescent="0.2">
      <c r="A22"/>
      <c r="B22" s="27" t="s">
        <v>17</v>
      </c>
      <c r="C22" s="5">
        <f>C20*C21/1000000</f>
        <v>0</v>
      </c>
      <c r="D22" s="5">
        <f t="shared" ref="D22:M22" si="12">D20*D21/1000000</f>
        <v>0</v>
      </c>
      <c r="E22" s="5">
        <f t="shared" si="12"/>
        <v>0</v>
      </c>
      <c r="F22" s="5">
        <f>0.75*F20*F21/1000000</f>
        <v>896.32024902000001</v>
      </c>
      <c r="G22" s="5">
        <f t="shared" ref="G22:Q22" si="13">0.75*G20*G21/1000000</f>
        <v>923.20985649060015</v>
      </c>
      <c r="H22" s="5">
        <f t="shared" si="13"/>
        <v>950.90615218531798</v>
      </c>
      <c r="I22" s="5">
        <f t="shared" si="13"/>
        <v>979.43333675087763</v>
      </c>
      <c r="J22" s="5">
        <f t="shared" si="13"/>
        <v>1008.8163368534041</v>
      </c>
      <c r="K22" s="5">
        <f t="shared" si="13"/>
        <v>1039.0808269590061</v>
      </c>
      <c r="L22" s="5">
        <f t="shared" si="13"/>
        <v>1070.2532517677762</v>
      </c>
      <c r="M22" s="5">
        <f t="shared" si="13"/>
        <v>1102.3608493208096</v>
      </c>
      <c r="N22" s="5">
        <f t="shared" si="13"/>
        <v>1135.4316748004339</v>
      </c>
      <c r="O22" s="5">
        <f t="shared" si="13"/>
        <v>1169.494625044447</v>
      </c>
      <c r="P22" s="5">
        <f t="shared" si="13"/>
        <v>1204.5794637957804</v>
      </c>
      <c r="Q22" s="5">
        <f t="shared" si="13"/>
        <v>1240.7168477096538</v>
      </c>
    </row>
    <row r="24" spans="1:17" x14ac:dyDescent="0.2">
      <c r="B24" t="s">
        <v>152</v>
      </c>
      <c r="D24" s="1"/>
      <c r="E24" s="1">
        <f>E22</f>
        <v>0</v>
      </c>
      <c r="F24" s="1">
        <f>F22</f>
        <v>896.32024902000001</v>
      </c>
      <c r="G24" s="1">
        <f>F24+G22</f>
        <v>1819.5301055106002</v>
      </c>
      <c r="H24" s="1">
        <f t="shared" ref="H24:M24" si="14">G24+H22</f>
        <v>2770.4362576959184</v>
      </c>
      <c r="I24" s="1">
        <f t="shared" si="14"/>
        <v>3749.8695944467959</v>
      </c>
      <c r="J24" s="1">
        <f t="shared" si="14"/>
        <v>4758.6859313001996</v>
      </c>
      <c r="K24" s="1">
        <f t="shared" si="14"/>
        <v>5797.7667582592057</v>
      </c>
      <c r="L24" s="1">
        <f t="shared" si="14"/>
        <v>6868.0200100269822</v>
      </c>
      <c r="M24" s="1">
        <f t="shared" si="14"/>
        <v>7970.3808593477916</v>
      </c>
      <c r="N24" s="1">
        <f t="shared" ref="N24" si="15">M24+N22</f>
        <v>9105.8125341482264</v>
      </c>
      <c r="O24" s="1">
        <f t="shared" ref="O24" si="16">N24+O22</f>
        <v>10275.307159192673</v>
      </c>
      <c r="P24" s="1">
        <f t="shared" ref="P24" si="17">O24+P22</f>
        <v>11479.886622988453</v>
      </c>
      <c r="Q24" s="1">
        <f t="shared" ref="Q24" si="18">P24+Q22</f>
        <v>12720.603470698108</v>
      </c>
    </row>
    <row r="25" spans="1:17" x14ac:dyDescent="0.2">
      <c r="D25" t="s">
        <v>55</v>
      </c>
      <c r="E25" s="3">
        <v>0.08</v>
      </c>
    </row>
    <row r="26" spans="1:17" x14ac:dyDescent="0.2">
      <c r="D26" t="s">
        <v>56</v>
      </c>
      <c r="E26" s="31">
        <f>NPV(E25,D22:Q22)</f>
        <v>6667.238447982365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golcadomide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2025-06-05T04:13:34Z</dcterms:modified>
</cp:coreProperties>
</file>