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C91222CA-CEF3-416B-8835-A9E5C09DFF61}" xr6:coauthVersionLast="47" xr6:coauthVersionMax="47" xr10:uidLastSave="{00000000-0000-0000-0000-000000000000}"/>
  <bookViews>
    <workbookView xWindow="2655" yWindow="1635" windowWidth="19695" windowHeight="13635" activeTab="1" xr2:uid="{624EDDA0-A479-489D-B866-645631A924E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2" l="1"/>
  <c r="T3" i="2"/>
  <c r="U3" i="2"/>
  <c r="V3" i="2"/>
  <c r="W3" i="2"/>
  <c r="O2" i="2"/>
  <c r="P2" i="2"/>
  <c r="Q2" i="2" s="1"/>
  <c r="R2" i="2" s="1"/>
  <c r="S2" i="2" s="1"/>
  <c r="T2" i="2" s="1"/>
  <c r="U2" i="2" s="1"/>
  <c r="V2" i="2" s="1"/>
  <c r="W2" i="2" s="1"/>
  <c r="O29" i="2"/>
  <c r="P29" i="2"/>
  <c r="Q29" i="2"/>
  <c r="R29" i="2" s="1"/>
  <c r="S29" i="2" s="1"/>
  <c r="T29" i="2" s="1"/>
  <c r="U29" i="2" s="1"/>
  <c r="V29" i="2" s="1"/>
  <c r="W29" i="2" s="1"/>
  <c r="K25" i="2" l="1"/>
  <c r="L25" i="2"/>
  <c r="M25" i="2"/>
  <c r="S30" i="2"/>
  <c r="T30" i="2" s="1"/>
  <c r="U30" i="2" s="1"/>
  <c r="V30" i="2" s="1"/>
  <c r="W30" i="2" s="1"/>
  <c r="N3" i="2"/>
  <c r="O3" i="2"/>
  <c r="P3" i="2" s="1"/>
  <c r="Q3" i="2" s="1"/>
  <c r="R3" i="2" s="1"/>
  <c r="N2" i="2"/>
  <c r="L38" i="2"/>
  <c r="M38" i="2"/>
  <c r="K38" i="2"/>
  <c r="N28" i="2"/>
  <c r="L36" i="2"/>
  <c r="M36" i="2"/>
  <c r="K36" i="2"/>
  <c r="M45" i="2"/>
  <c r="M40" i="2" s="1"/>
  <c r="N12" i="2" s="1"/>
  <c r="M30" i="2"/>
  <c r="N30" i="2" s="1"/>
  <c r="O30" i="2" s="1"/>
  <c r="P30" i="2" s="1"/>
  <c r="Q30" i="2" s="1"/>
  <c r="R30" i="2" s="1"/>
  <c r="L30" i="2"/>
  <c r="K30" i="2"/>
  <c r="K29" i="2"/>
  <c r="M29" i="2"/>
  <c r="N29" i="2" s="1"/>
  <c r="L29" i="2"/>
  <c r="M28" i="2"/>
  <c r="L28" i="2"/>
  <c r="M27" i="2"/>
  <c r="L27" i="2"/>
  <c r="L10" i="2"/>
  <c r="M10" i="2"/>
  <c r="K10" i="2"/>
  <c r="L4" i="2"/>
  <c r="L7" i="2" s="1"/>
  <c r="L11" i="2" s="1"/>
  <c r="L13" i="2" s="1"/>
  <c r="L15" i="2" s="1"/>
  <c r="L16" i="2" s="1"/>
  <c r="M4" i="2"/>
  <c r="M7" i="2" s="1"/>
  <c r="M11" i="2" s="1"/>
  <c r="M13" i="2" s="1"/>
  <c r="M15" i="2" s="1"/>
  <c r="M42" i="2" s="1"/>
  <c r="K4" i="2"/>
  <c r="K7" i="2" s="1"/>
  <c r="J1" i="2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F5" i="1"/>
  <c r="F4" i="1"/>
  <c r="F7" i="1" s="1"/>
  <c r="S6" i="2" l="1"/>
  <c r="S28" i="2"/>
  <c r="S5" i="2"/>
  <c r="S4" i="2"/>
  <c r="S32" i="2" s="1"/>
  <c r="S27" i="2"/>
  <c r="T5" i="2"/>
  <c r="T4" i="2"/>
  <c r="T27" i="2"/>
  <c r="T6" i="2"/>
  <c r="L37" i="2"/>
  <c r="M32" i="2"/>
  <c r="K31" i="2"/>
  <c r="L32" i="2"/>
  <c r="K32" i="2"/>
  <c r="M31" i="2"/>
  <c r="L31" i="2"/>
  <c r="M37" i="2"/>
  <c r="N6" i="2"/>
  <c r="N5" i="2"/>
  <c r="L19" i="2"/>
  <c r="M19" i="2"/>
  <c r="N4" i="2"/>
  <c r="N27" i="2"/>
  <c r="O6" i="2"/>
  <c r="O27" i="2"/>
  <c r="O5" i="2"/>
  <c r="O4" i="2"/>
  <c r="P27" i="2"/>
  <c r="K11" i="2"/>
  <c r="K13" i="2" s="1"/>
  <c r="K15" i="2" s="1"/>
  <c r="L42" i="2"/>
  <c r="M16" i="2"/>
  <c r="F8" i="1" s="1"/>
  <c r="M23" i="2"/>
  <c r="L23" i="2"/>
  <c r="M24" i="2"/>
  <c r="L24" i="2"/>
  <c r="M21" i="2"/>
  <c r="L21" i="2"/>
  <c r="K21" i="2"/>
  <c r="K23" i="2"/>
  <c r="S7" i="2" l="1"/>
  <c r="S31" i="2"/>
  <c r="T28" i="2"/>
  <c r="S23" i="2"/>
  <c r="T7" i="2"/>
  <c r="T19" i="2"/>
  <c r="T31" i="2"/>
  <c r="T32" i="2"/>
  <c r="U5" i="2"/>
  <c r="U27" i="2"/>
  <c r="U4" i="2"/>
  <c r="K16" i="2"/>
  <c r="K37" i="2"/>
  <c r="O31" i="2"/>
  <c r="O32" i="2"/>
  <c r="N19" i="2"/>
  <c r="N8" i="2" s="1"/>
  <c r="N32" i="2"/>
  <c r="N31" i="2"/>
  <c r="O19" i="2"/>
  <c r="N7" i="2"/>
  <c r="N23" i="2" s="1"/>
  <c r="K24" i="2"/>
  <c r="K42" i="2"/>
  <c r="O28" i="2"/>
  <c r="P5" i="2"/>
  <c r="O7" i="2"/>
  <c r="O23" i="2" s="1"/>
  <c r="Q27" i="2"/>
  <c r="N9" i="2" l="1"/>
  <c r="N10" i="2" s="1"/>
  <c r="O8" i="2"/>
  <c r="U6" i="2"/>
  <c r="U28" i="2"/>
  <c r="U7" i="2"/>
  <c r="U19" i="2"/>
  <c r="U31" i="2"/>
  <c r="U32" i="2"/>
  <c r="V5" i="2"/>
  <c r="V4" i="2"/>
  <c r="V32" i="2" s="1"/>
  <c r="V27" i="2"/>
  <c r="T23" i="2"/>
  <c r="O9" i="2"/>
  <c r="O10" i="2" s="1"/>
  <c r="O11" i="2" s="1"/>
  <c r="O24" i="2" s="1"/>
  <c r="N11" i="2"/>
  <c r="N13" i="2" s="1"/>
  <c r="N14" i="2" s="1"/>
  <c r="P28" i="2"/>
  <c r="P6" i="2"/>
  <c r="P4" i="2"/>
  <c r="Q5" i="2"/>
  <c r="Q4" i="2"/>
  <c r="V28" i="2" l="1"/>
  <c r="V6" i="2"/>
  <c r="V7" i="2"/>
  <c r="V19" i="2"/>
  <c r="V31" i="2"/>
  <c r="W5" i="2"/>
  <c r="W27" i="2"/>
  <c r="W4" i="2"/>
  <c r="U23" i="2"/>
  <c r="N15" i="2"/>
  <c r="N34" i="2" s="1"/>
  <c r="N24" i="2"/>
  <c r="Q31" i="2"/>
  <c r="Q32" i="2"/>
  <c r="P19" i="2"/>
  <c r="P32" i="2"/>
  <c r="P31" i="2"/>
  <c r="Q28" i="2"/>
  <c r="Q6" i="2"/>
  <c r="P7" i="2"/>
  <c r="P23" i="2" s="1"/>
  <c r="Q19" i="2"/>
  <c r="Q7" i="2"/>
  <c r="Q23" i="2" s="1"/>
  <c r="R27" i="2"/>
  <c r="R5" i="2"/>
  <c r="R4" i="2"/>
  <c r="S19" i="2" s="1"/>
  <c r="W6" i="2" l="1"/>
  <c r="W28" i="2"/>
  <c r="W7" i="2"/>
  <c r="W19" i="2"/>
  <c r="W31" i="2"/>
  <c r="W32" i="2"/>
  <c r="V23" i="2"/>
  <c r="N16" i="2"/>
  <c r="N42" i="2"/>
  <c r="N40" i="2"/>
  <c r="O12" i="2" s="1"/>
  <c r="O13" i="2" s="1"/>
  <c r="O14" i="2" s="1"/>
  <c r="N35" i="2"/>
  <c r="N36" i="2" s="1"/>
  <c r="N25" i="2" s="1"/>
  <c r="R31" i="2"/>
  <c r="R32" i="2"/>
  <c r="P9" i="2"/>
  <c r="Q9" i="2" s="1"/>
  <c r="P8" i="2"/>
  <c r="Q8" i="2" s="1"/>
  <c r="R28" i="2"/>
  <c r="R6" i="2"/>
  <c r="R7" i="2" s="1"/>
  <c r="R19" i="2"/>
  <c r="W23" i="2" l="1"/>
  <c r="O15" i="2"/>
  <c r="O42" i="2" s="1"/>
  <c r="O34" i="2"/>
  <c r="O35" i="2" s="1"/>
  <c r="O36" i="2" s="1"/>
  <c r="O25" i="2" s="1"/>
  <c r="O16" i="2"/>
  <c r="R8" i="2"/>
  <c r="S8" i="2" s="1"/>
  <c r="P10" i="2"/>
  <c r="P11" i="2" s="1"/>
  <c r="P24" i="2" s="1"/>
  <c r="R9" i="2"/>
  <c r="Q10" i="2"/>
  <c r="Q11" i="2" s="1"/>
  <c r="Q24" i="2" s="1"/>
  <c r="R23" i="2"/>
  <c r="R10" i="2" l="1"/>
  <c r="R11" i="2" s="1"/>
  <c r="R24" i="2" s="1"/>
  <c r="S9" i="2"/>
  <c r="T9" i="2" s="1"/>
  <c r="U9" i="2" s="1"/>
  <c r="V9" i="2" s="1"/>
  <c r="W9" i="2" s="1"/>
  <c r="S10" i="2"/>
  <c r="S11" i="2" s="1"/>
  <c r="T8" i="2"/>
  <c r="O40" i="2"/>
  <c r="P12" i="2" s="1"/>
  <c r="P13" i="2" s="1"/>
  <c r="P14" i="2" s="1"/>
  <c r="S24" i="2" l="1"/>
  <c r="U8" i="2"/>
  <c r="T10" i="2"/>
  <c r="T11" i="2" s="1"/>
  <c r="T24" i="2" s="1"/>
  <c r="P15" i="2"/>
  <c r="P34" i="2"/>
  <c r="P35" i="2" s="1"/>
  <c r="P36" i="2" s="1"/>
  <c r="P25" i="2" s="1"/>
  <c r="P42" i="2"/>
  <c r="P16" i="2"/>
  <c r="P40" i="2"/>
  <c r="Q12" i="2" s="1"/>
  <c r="Q13" i="2" s="1"/>
  <c r="Q14" i="2" s="1"/>
  <c r="Q15" i="2" s="1"/>
  <c r="V8" i="2" l="1"/>
  <c r="U10" i="2"/>
  <c r="U11" i="2" s="1"/>
  <c r="U24" i="2" s="1"/>
  <c r="Q34" i="2"/>
  <c r="Q35" i="2" s="1"/>
  <c r="Q36" i="2" s="1"/>
  <c r="Q25" i="2" s="1"/>
  <c r="Q42" i="2"/>
  <c r="Q16" i="2"/>
  <c r="Q40" i="2"/>
  <c r="R12" i="2" s="1"/>
  <c r="R13" i="2" s="1"/>
  <c r="W8" i="2" l="1"/>
  <c r="W10" i="2" s="1"/>
  <c r="W11" i="2" s="1"/>
  <c r="W24" i="2" s="1"/>
  <c r="V10" i="2"/>
  <c r="V11" i="2" s="1"/>
  <c r="V24" i="2" s="1"/>
  <c r="R14" i="2"/>
  <c r="R15" i="2" l="1"/>
  <c r="R42" i="2"/>
  <c r="R34" i="2"/>
  <c r="R40" i="2"/>
  <c r="R16" i="2"/>
  <c r="S12" i="2" l="1"/>
  <c r="S13" i="2" s="1"/>
  <c r="S14" i="2" s="1"/>
  <c r="S15" i="2" s="1"/>
  <c r="S40" i="2"/>
  <c r="R35" i="2"/>
  <c r="R36" i="2" s="1"/>
  <c r="R25" i="2" s="1"/>
  <c r="T12" i="2" l="1"/>
  <c r="T13" i="2" s="1"/>
  <c r="T14" i="2" s="1"/>
  <c r="T15" i="2" s="1"/>
  <c r="T40" i="2" s="1"/>
  <c r="S16" i="2"/>
  <c r="S34" i="2"/>
  <c r="S35" i="2" s="1"/>
  <c r="S36" i="2" s="1"/>
  <c r="S25" i="2" s="1"/>
  <c r="U12" i="2" l="1"/>
  <c r="U13" i="2" s="1"/>
  <c r="U14" i="2" s="1"/>
  <c r="U15" i="2" s="1"/>
  <c r="U40" i="2"/>
  <c r="V12" i="2" s="1"/>
  <c r="V13" i="2" s="1"/>
  <c r="V14" i="2" s="1"/>
  <c r="V15" i="2" s="1"/>
  <c r="T16" i="2"/>
  <c r="T34" i="2"/>
  <c r="T35" i="2" s="1"/>
  <c r="T36" i="2" s="1"/>
  <c r="T25" i="2" s="1"/>
  <c r="U16" i="2" l="1"/>
  <c r="U34" i="2"/>
  <c r="U35" i="2" s="1"/>
  <c r="U36" i="2" s="1"/>
  <c r="U25" i="2" s="1"/>
  <c r="V16" i="2"/>
  <c r="V34" i="2"/>
  <c r="V40" i="2"/>
  <c r="W12" i="2" l="1"/>
  <c r="W13" i="2" s="1"/>
  <c r="V35" i="2"/>
  <c r="V36" i="2" s="1"/>
  <c r="V25" i="2" s="1"/>
  <c r="W14" i="2" l="1"/>
  <c r="W15" i="2" s="1"/>
  <c r="W34" i="2" l="1"/>
  <c r="W16" i="2"/>
  <c r="X15" i="2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DO15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EF15" i="2" s="1"/>
  <c r="EG15" i="2" s="1"/>
  <c r="EH15" i="2" s="1"/>
  <c r="EI15" i="2" s="1"/>
  <c r="EJ15" i="2" s="1"/>
  <c r="EK15" i="2" s="1"/>
  <c r="EL15" i="2" s="1"/>
  <c r="EM15" i="2" s="1"/>
  <c r="EN15" i="2" s="1"/>
  <c r="EO15" i="2" s="1"/>
  <c r="EP15" i="2" s="1"/>
  <c r="EQ15" i="2" s="1"/>
  <c r="ER15" i="2" s="1"/>
  <c r="ES15" i="2" s="1"/>
  <c r="ET15" i="2" s="1"/>
  <c r="EU15" i="2" s="1"/>
  <c r="EV15" i="2" s="1"/>
  <c r="EW15" i="2" s="1"/>
  <c r="EX15" i="2" s="1"/>
  <c r="EY15" i="2" s="1"/>
  <c r="EZ15" i="2" s="1"/>
  <c r="FA15" i="2" s="1"/>
  <c r="FB15" i="2" s="1"/>
  <c r="FC15" i="2" s="1"/>
  <c r="FD15" i="2" s="1"/>
  <c r="FE15" i="2" s="1"/>
  <c r="FF15" i="2" s="1"/>
  <c r="FG15" i="2" s="1"/>
  <c r="FH15" i="2" s="1"/>
  <c r="FI15" i="2" s="1"/>
  <c r="FJ15" i="2" s="1"/>
  <c r="FK15" i="2" s="1"/>
  <c r="W40" i="2"/>
  <c r="W35" i="2" l="1"/>
  <c r="W36" i="2" s="1"/>
  <c r="X36" i="2" l="1"/>
  <c r="Y36" i="2" s="1"/>
  <c r="Z36" i="2" s="1"/>
  <c r="AA36" i="2" s="1"/>
  <c r="AB36" i="2" s="1"/>
  <c r="AC36" i="2" s="1"/>
  <c r="AD36" i="2" s="1"/>
  <c r="AE36" i="2" s="1"/>
  <c r="AF36" i="2" s="1"/>
  <c r="AG36" i="2" s="1"/>
  <c r="AH36" i="2" s="1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BN36" i="2" s="1"/>
  <c r="BO36" i="2" s="1"/>
  <c r="BP36" i="2" s="1"/>
  <c r="BQ36" i="2" s="1"/>
  <c r="BR36" i="2" s="1"/>
  <c r="BS36" i="2" s="1"/>
  <c r="BT36" i="2" s="1"/>
  <c r="BU36" i="2" s="1"/>
  <c r="BV36" i="2" s="1"/>
  <c r="BW36" i="2" s="1"/>
  <c r="BX36" i="2" s="1"/>
  <c r="BY36" i="2" s="1"/>
  <c r="BZ36" i="2" s="1"/>
  <c r="CA36" i="2" s="1"/>
  <c r="CB36" i="2" s="1"/>
  <c r="CC36" i="2" s="1"/>
  <c r="CD36" i="2" s="1"/>
  <c r="CE36" i="2" s="1"/>
  <c r="CF36" i="2" s="1"/>
  <c r="CG36" i="2" s="1"/>
  <c r="CH36" i="2" s="1"/>
  <c r="CI36" i="2" s="1"/>
  <c r="CJ36" i="2" s="1"/>
  <c r="CK36" i="2" s="1"/>
  <c r="CL36" i="2" s="1"/>
  <c r="CM36" i="2" s="1"/>
  <c r="CN36" i="2" s="1"/>
  <c r="CO36" i="2" s="1"/>
  <c r="CP36" i="2" s="1"/>
  <c r="CQ36" i="2" s="1"/>
  <c r="CR36" i="2" s="1"/>
  <c r="CS36" i="2" s="1"/>
  <c r="CT36" i="2" s="1"/>
  <c r="CU36" i="2" s="1"/>
  <c r="CV36" i="2" s="1"/>
  <c r="CW36" i="2" s="1"/>
  <c r="CX36" i="2" s="1"/>
  <c r="CY36" i="2" s="1"/>
  <c r="CZ36" i="2" s="1"/>
  <c r="DA36" i="2" s="1"/>
  <c r="DB36" i="2" s="1"/>
  <c r="DC36" i="2" s="1"/>
  <c r="DD36" i="2" s="1"/>
  <c r="DE36" i="2" s="1"/>
  <c r="DF36" i="2" s="1"/>
  <c r="DG36" i="2" s="1"/>
  <c r="DH36" i="2" s="1"/>
  <c r="DI36" i="2" s="1"/>
  <c r="DJ36" i="2" s="1"/>
  <c r="DK36" i="2" s="1"/>
  <c r="DL36" i="2" s="1"/>
  <c r="DM36" i="2" s="1"/>
  <c r="DN36" i="2" s="1"/>
  <c r="DO36" i="2" s="1"/>
  <c r="DP36" i="2" s="1"/>
  <c r="DQ36" i="2" s="1"/>
  <c r="DR36" i="2" s="1"/>
  <c r="DS36" i="2" s="1"/>
  <c r="DT36" i="2" s="1"/>
  <c r="DU36" i="2" s="1"/>
  <c r="DV36" i="2" s="1"/>
  <c r="DW36" i="2" s="1"/>
  <c r="DX36" i="2" s="1"/>
  <c r="DY36" i="2" s="1"/>
  <c r="DZ36" i="2" s="1"/>
  <c r="EA36" i="2" s="1"/>
  <c r="EB36" i="2" s="1"/>
  <c r="EC36" i="2" s="1"/>
  <c r="ED36" i="2" s="1"/>
  <c r="EE36" i="2" s="1"/>
  <c r="EF36" i="2" s="1"/>
  <c r="EG36" i="2" s="1"/>
  <c r="EH36" i="2" s="1"/>
  <c r="EI36" i="2" s="1"/>
  <c r="EJ36" i="2" s="1"/>
  <c r="EK36" i="2" s="1"/>
  <c r="EL36" i="2" s="1"/>
  <c r="EM36" i="2" s="1"/>
  <c r="EN36" i="2" s="1"/>
  <c r="EO36" i="2" s="1"/>
  <c r="EP36" i="2" s="1"/>
  <c r="EQ36" i="2" s="1"/>
  <c r="ER36" i="2" s="1"/>
  <c r="ES36" i="2" s="1"/>
  <c r="ET36" i="2" s="1"/>
  <c r="EU36" i="2" s="1"/>
  <c r="EV36" i="2" s="1"/>
  <c r="EW36" i="2" s="1"/>
  <c r="EX36" i="2" s="1"/>
  <c r="EY36" i="2" s="1"/>
  <c r="EZ36" i="2" s="1"/>
  <c r="FA36" i="2" s="1"/>
  <c r="FB36" i="2" s="1"/>
  <c r="FC36" i="2" s="1"/>
  <c r="FD36" i="2" s="1"/>
  <c r="FE36" i="2" s="1"/>
  <c r="FF36" i="2" s="1"/>
  <c r="FG36" i="2" s="1"/>
  <c r="Z22" i="2" s="1"/>
  <c r="Z23" i="2" s="1"/>
  <c r="Z24" i="2" s="1"/>
  <c r="W25" i="2"/>
</calcChain>
</file>

<file path=xl/sharedStrings.xml><?xml version="1.0" encoding="utf-8"?>
<sst xmlns="http://schemas.openxmlformats.org/spreadsheetml/2006/main" count="63" uniqueCount="54">
  <si>
    <t>AAPL</t>
  </si>
  <si>
    <t>Price</t>
  </si>
  <si>
    <t>Shares</t>
  </si>
  <si>
    <t>MC</t>
  </si>
  <si>
    <t>Cash</t>
  </si>
  <si>
    <t>Debt</t>
  </si>
  <si>
    <t>EV</t>
  </si>
  <si>
    <t>Q424</t>
  </si>
  <si>
    <t>Q125</t>
  </si>
  <si>
    <t>Products</t>
  </si>
  <si>
    <t>Services</t>
  </si>
  <si>
    <t>Revenue</t>
  </si>
  <si>
    <t>Products COGS</t>
  </si>
  <si>
    <t>Services COGS</t>
  </si>
  <si>
    <t>Gross Profit</t>
  </si>
  <si>
    <t>R&amp;D</t>
  </si>
  <si>
    <t>SG&amp;A</t>
  </si>
  <si>
    <t>OPEX</t>
  </si>
  <si>
    <t>Operating Income</t>
  </si>
  <si>
    <t>Other Income</t>
  </si>
  <si>
    <t>Pretax Income</t>
  </si>
  <si>
    <t>Net Income</t>
  </si>
  <si>
    <t>EPS</t>
  </si>
  <si>
    <t>Revenue Growth y/y</t>
  </si>
  <si>
    <t>Revenue Growth q/q</t>
  </si>
  <si>
    <t>Gross Margin</t>
  </si>
  <si>
    <t>Operating Margin</t>
  </si>
  <si>
    <t>CFFO</t>
  </si>
  <si>
    <t>CX</t>
  </si>
  <si>
    <t>FCF</t>
  </si>
  <si>
    <t>Q124</t>
  </si>
  <si>
    <t>Q224</t>
  </si>
  <si>
    <t>Q324</t>
  </si>
  <si>
    <t>Q225</t>
  </si>
  <si>
    <t>NPV</t>
  </si>
  <si>
    <t>ROIC</t>
  </si>
  <si>
    <t>Maturity</t>
  </si>
  <si>
    <t>Discount</t>
  </si>
  <si>
    <t>Diff</t>
  </si>
  <si>
    <t>Net Cash</t>
  </si>
  <si>
    <t>AP</t>
  </si>
  <si>
    <t>AR</t>
  </si>
  <si>
    <t>Tax</t>
  </si>
  <si>
    <t>Tax Rate</t>
  </si>
  <si>
    <t>Model NI</t>
  </si>
  <si>
    <t>Reported NI</t>
  </si>
  <si>
    <t>Products GM</t>
  </si>
  <si>
    <t>Services GM</t>
  </si>
  <si>
    <t>Products Growth</t>
  </si>
  <si>
    <t>Services Growth</t>
  </si>
  <si>
    <t>PE</t>
  </si>
  <si>
    <t>notes:</t>
  </si>
  <si>
    <t xml:space="preserve"> </t>
  </si>
  <si>
    <t>FCF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</si>
</sst>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4" fontId="0" fillId="0" borderId="0" xfId="0" applyNumberFormat="1"/>
    <xf numFmtId="3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3" fontId="1" fillId="0" borderId="0" xfId="0" applyNumberFormat="1" applyFon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19050</xdr:rowOff>
    </xdr:from>
    <xdr:to>
      <xdr:col>6</xdr:col>
      <xdr:colOff>9525</xdr:colOff>
      <xdr:row>49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488A1C5-792A-FA43-7307-02550AA1F6F2}"/>
            </a:ext>
          </a:extLst>
        </xdr:cNvPr>
        <xdr:cNvCxnSpPr/>
      </xdr:nvCxnSpPr>
      <xdr:spPr>
        <a:xfrm flipH="1">
          <a:off x="4248150" y="19050"/>
          <a:ext cx="9525" cy="61150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600075</xdr:colOff>
      <xdr:row>0</xdr:row>
      <xdr:rowOff>9525</xdr:rowOff>
    </xdr:from>
    <xdr:to>
      <xdr:col>13</xdr:col>
      <xdr:colOff>0</xdr:colOff>
      <xdr:row>49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FD3EAB1-497D-4C1C-8139-70629C3212F8}"/>
            </a:ext>
          </a:extLst>
        </xdr:cNvPr>
        <xdr:cNvCxnSpPr/>
      </xdr:nvCxnSpPr>
      <xdr:spPr>
        <a:xfrm flipH="1">
          <a:off x="8505825" y="9525"/>
          <a:ext cx="9525" cy="93535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B79C5-ED94-49D4-91A8-403BB18825CC}">
  <dimension ref="A1:G8"/>
  <sheetViews>
    <sheetView zoomScale="250" zoomScaleNormal="250" workbookViewId="0">
      <selection activeCell="F7" sqref="F7"/>
    </sheetView>
  </sheetViews>
  <sheetFormatPr defaultRowHeight="15" x14ac:dyDescent="0.25"/>
  <cols>
    <col min="5" max="5" width="9.7109375" customWidth="1"/>
    <col min="6" max="6" width="10" customWidth="1"/>
  </cols>
  <sheetData>
    <row r="1" spans="1:7" x14ac:dyDescent="0.25">
      <c r="A1" s="1" t="s">
        <v>0</v>
      </c>
    </row>
    <row r="2" spans="1:7" x14ac:dyDescent="0.25">
      <c r="B2" t="s">
        <v>51</v>
      </c>
      <c r="E2" t="s">
        <v>1</v>
      </c>
      <c r="F2" s="3">
        <v>197</v>
      </c>
    </row>
    <row r="3" spans="1:7" x14ac:dyDescent="0.25">
      <c r="E3" t="s">
        <v>2</v>
      </c>
      <c r="F3" s="3">
        <v>15115.823</v>
      </c>
      <c r="G3" t="s">
        <v>8</v>
      </c>
    </row>
    <row r="4" spans="1:7" x14ac:dyDescent="0.25">
      <c r="E4" t="s">
        <v>3</v>
      </c>
      <c r="F4" s="3">
        <f>F3*F2</f>
        <v>2977817.1310000001</v>
      </c>
    </row>
    <row r="5" spans="1:7" x14ac:dyDescent="0.25">
      <c r="E5" t="s">
        <v>4</v>
      </c>
      <c r="F5" s="3">
        <f>30299+23476</f>
        <v>53775</v>
      </c>
      <c r="G5" t="s">
        <v>8</v>
      </c>
    </row>
    <row r="6" spans="1:7" x14ac:dyDescent="0.25">
      <c r="E6" t="s">
        <v>5</v>
      </c>
      <c r="F6" s="3">
        <v>83956</v>
      </c>
      <c r="G6" t="s">
        <v>8</v>
      </c>
    </row>
    <row r="7" spans="1:7" x14ac:dyDescent="0.25">
      <c r="E7" t="s">
        <v>6</v>
      </c>
      <c r="F7" s="3">
        <f>F4+F6-F5</f>
        <v>3007998.1310000001</v>
      </c>
    </row>
    <row r="8" spans="1:7" x14ac:dyDescent="0.25">
      <c r="E8" t="s">
        <v>50</v>
      </c>
      <c r="F8">
        <f>F2/Sheet2!M16</f>
        <v>32.382389903558931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0A3AD-F548-451C-B2BF-0C6E206F237A}">
  <dimension ref="A1:FK49"/>
  <sheetViews>
    <sheetView tabSelected="1"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R3" sqref="R3"/>
    </sheetView>
  </sheetViews>
  <sheetFormatPr defaultRowHeight="15" x14ac:dyDescent="0.25"/>
  <cols>
    <col min="1" max="1" width="18" style="3" customWidth="1"/>
    <col min="2" max="18" width="9.140625" style="3"/>
    <col min="19" max="19" width="10.5703125" style="3" bestFit="1" customWidth="1"/>
    <col min="20" max="20" width="9.140625" style="3"/>
    <col min="21" max="22" width="10.5703125" style="3" bestFit="1" customWidth="1"/>
    <col min="23" max="16384" width="9.140625" style="3"/>
  </cols>
  <sheetData>
    <row r="1" spans="1:167" x14ac:dyDescent="0.25">
      <c r="B1" s="3" t="s">
        <v>30</v>
      </c>
      <c r="C1" s="3" t="s">
        <v>31</v>
      </c>
      <c r="D1" s="3" t="s">
        <v>32</v>
      </c>
      <c r="E1" s="3" t="s">
        <v>7</v>
      </c>
      <c r="F1" s="3" t="s">
        <v>8</v>
      </c>
      <c r="G1" s="3" t="s">
        <v>33</v>
      </c>
      <c r="I1" s="7">
        <v>2020</v>
      </c>
      <c r="J1" s="7">
        <f>I1+1</f>
        <v>2021</v>
      </c>
      <c r="K1" s="7">
        <f t="shared" ref="K1:R1" si="0">J1+1</f>
        <v>2022</v>
      </c>
      <c r="L1" s="7">
        <f t="shared" si="0"/>
        <v>2023</v>
      </c>
      <c r="M1" s="7">
        <f t="shared" si="0"/>
        <v>2024</v>
      </c>
      <c r="N1" s="7">
        <f t="shared" si="0"/>
        <v>2025</v>
      </c>
      <c r="O1" s="7">
        <f t="shared" si="0"/>
        <v>2026</v>
      </c>
      <c r="P1" s="7">
        <f t="shared" si="0"/>
        <v>2027</v>
      </c>
      <c r="Q1" s="7">
        <f t="shared" si="0"/>
        <v>2028</v>
      </c>
      <c r="R1" s="7">
        <f t="shared" si="0"/>
        <v>2029</v>
      </c>
      <c r="S1" s="7">
        <f t="shared" ref="S1" si="1">R1+1</f>
        <v>2030</v>
      </c>
      <c r="T1" s="7">
        <f t="shared" ref="T1" si="2">S1+1</f>
        <v>2031</v>
      </c>
      <c r="U1" s="7">
        <f t="shared" ref="U1" si="3">T1+1</f>
        <v>2032</v>
      </c>
      <c r="V1" s="7">
        <f t="shared" ref="V1" si="4">U1+1</f>
        <v>2033</v>
      </c>
      <c r="W1" s="7">
        <f t="shared" ref="W1" si="5">V1+1</f>
        <v>2034</v>
      </c>
    </row>
    <row r="2" spans="1:167" x14ac:dyDescent="0.25">
      <c r="A2" s="3" t="s">
        <v>9</v>
      </c>
      <c r="K2" s="3">
        <v>316199</v>
      </c>
      <c r="L2" s="3">
        <v>298085</v>
      </c>
      <c r="M2" s="3">
        <v>294866</v>
      </c>
      <c r="N2" s="3">
        <f>M2*1.01</f>
        <v>297814.65999999997</v>
      </c>
      <c r="O2" s="3">
        <f t="shared" ref="O2:W2" si="6">N2*1.01</f>
        <v>300792.80659999995</v>
      </c>
      <c r="P2" s="3">
        <f t="shared" si="6"/>
        <v>303800.73466599995</v>
      </c>
      <c r="Q2" s="3">
        <f t="shared" si="6"/>
        <v>306838.74201265996</v>
      </c>
      <c r="R2" s="3">
        <f t="shared" si="6"/>
        <v>309907.12943278655</v>
      </c>
      <c r="S2" s="3">
        <f t="shared" si="6"/>
        <v>313006.2007271144</v>
      </c>
      <c r="T2" s="3">
        <f t="shared" si="6"/>
        <v>316136.26273438556</v>
      </c>
      <c r="U2" s="3">
        <f t="shared" si="6"/>
        <v>319297.62536172941</v>
      </c>
      <c r="V2" s="3">
        <f t="shared" si="6"/>
        <v>322490.60161534674</v>
      </c>
      <c r="W2" s="3">
        <f t="shared" si="6"/>
        <v>325715.50763150019</v>
      </c>
    </row>
    <row r="3" spans="1:167" x14ac:dyDescent="0.25">
      <c r="A3" s="3" t="s">
        <v>10</v>
      </c>
      <c r="K3" s="3">
        <v>78129</v>
      </c>
      <c r="L3" s="3">
        <v>85200</v>
      </c>
      <c r="M3" s="3">
        <v>96169</v>
      </c>
      <c r="N3" s="3">
        <f t="shared" ref="N3:R3" si="7">M3*1.1</f>
        <v>105785.90000000001</v>
      </c>
      <c r="O3" s="3">
        <f t="shared" si="7"/>
        <v>116364.49000000002</v>
      </c>
      <c r="P3" s="3">
        <f t="shared" si="7"/>
        <v>128000.93900000003</v>
      </c>
      <c r="Q3" s="3">
        <f t="shared" si="7"/>
        <v>140801.03290000005</v>
      </c>
      <c r="R3" s="3">
        <f t="shared" si="7"/>
        <v>154881.13619000008</v>
      </c>
      <c r="S3" s="3">
        <f>R3*1.02</f>
        <v>157978.75891380009</v>
      </c>
      <c r="T3" s="3">
        <f t="shared" ref="T3:W3" si="8">S3*1.02</f>
        <v>161138.33409207608</v>
      </c>
      <c r="U3" s="3">
        <f t="shared" si="8"/>
        <v>164361.1007739176</v>
      </c>
      <c r="V3" s="3">
        <f t="shared" si="8"/>
        <v>167648.32278939596</v>
      </c>
      <c r="W3" s="3">
        <f t="shared" si="8"/>
        <v>171001.28924518387</v>
      </c>
    </row>
    <row r="4" spans="1:167" s="6" customFormat="1" x14ac:dyDescent="0.25">
      <c r="A4" s="6" t="s">
        <v>11</v>
      </c>
      <c r="K4" s="6">
        <f>SUM(K2:K3)</f>
        <v>394328</v>
      </c>
      <c r="L4" s="6">
        <f t="shared" ref="L4:M4" si="9">SUM(L2:L3)</f>
        <v>383285</v>
      </c>
      <c r="M4" s="6">
        <f t="shared" si="9"/>
        <v>391035</v>
      </c>
      <c r="N4" s="6">
        <f t="shared" ref="N4" si="10">SUM(N2:N3)</f>
        <v>403600.56</v>
      </c>
      <c r="O4" s="6">
        <f t="shared" ref="O4" si="11">SUM(O2:O3)</f>
        <v>417157.2966</v>
      </c>
      <c r="P4" s="6">
        <f t="shared" ref="P4" si="12">SUM(P2:P3)</f>
        <v>431801.67366599996</v>
      </c>
      <c r="Q4" s="6">
        <f t="shared" ref="Q4" si="13">SUM(Q2:Q3)</f>
        <v>447639.77491266001</v>
      </c>
      <c r="R4" s="6">
        <f t="shared" ref="R4:W4" si="14">SUM(R2:R3)</f>
        <v>464788.2656227866</v>
      </c>
      <c r="S4" s="6">
        <f t="shared" si="14"/>
        <v>470984.95964091446</v>
      </c>
      <c r="T4" s="6">
        <f t="shared" si="14"/>
        <v>477274.59682646161</v>
      </c>
      <c r="U4" s="6">
        <f t="shared" si="14"/>
        <v>483658.72613564704</v>
      </c>
      <c r="V4" s="6">
        <f t="shared" si="14"/>
        <v>490138.92440474266</v>
      </c>
      <c r="W4" s="6">
        <f t="shared" si="14"/>
        <v>496716.79687668406</v>
      </c>
    </row>
    <row r="5" spans="1:167" x14ac:dyDescent="0.25">
      <c r="A5" s="3" t="s">
        <v>12</v>
      </c>
      <c r="K5" s="3">
        <v>201471</v>
      </c>
      <c r="L5" s="3">
        <v>189282</v>
      </c>
      <c r="M5" s="3">
        <v>185233</v>
      </c>
      <c r="N5" s="3">
        <f>N2*(1-N29)</f>
        <v>186531.68335000001</v>
      </c>
      <c r="O5" s="3">
        <f t="shared" ref="O5:R5" si="15">O2*(1-O29)</f>
        <v>187835.02115141752</v>
      </c>
      <c r="P5" s="3">
        <f t="shared" si="15"/>
        <v>189142.93454641633</v>
      </c>
      <c r="Q5" s="3">
        <f t="shared" si="15"/>
        <v>190455.34200127661</v>
      </c>
      <c r="R5" s="3">
        <f t="shared" si="15"/>
        <v>191772.1592512319</v>
      </c>
      <c r="S5" s="3">
        <f t="shared" ref="S5:W5" si="16">S2*(1-S29)</f>
        <v>193093.29924432738</v>
      </c>
      <c r="T5" s="3">
        <f t="shared" si="16"/>
        <v>194418.67208428259</v>
      </c>
      <c r="U5" s="3">
        <f t="shared" si="16"/>
        <v>195748.18497234242</v>
      </c>
      <c r="V5" s="3">
        <f t="shared" si="16"/>
        <v>197081.7421480995</v>
      </c>
      <c r="W5" s="3">
        <f t="shared" si="16"/>
        <v>198419.2448292709</v>
      </c>
    </row>
    <row r="6" spans="1:167" x14ac:dyDescent="0.25">
      <c r="A6" s="3" t="s">
        <v>13</v>
      </c>
      <c r="K6" s="3">
        <v>22075</v>
      </c>
      <c r="L6" s="3">
        <v>24855</v>
      </c>
      <c r="M6" s="3">
        <v>25119</v>
      </c>
      <c r="N6" s="3">
        <f>N3*(1-N30)</f>
        <v>26849.350000000009</v>
      </c>
      <c r="O6" s="3">
        <f t="shared" ref="O6:R6" si="17">O3*(1-O30)</f>
        <v>28665.982950000016</v>
      </c>
      <c r="P6" s="3">
        <f t="shared" si="17"/>
        <v>30567.897667450023</v>
      </c>
      <c r="Q6" s="3">
        <f t="shared" si="17"/>
        <v>32552.923979536969</v>
      </c>
      <c r="R6" s="3">
        <f t="shared" si="17"/>
        <v>34617.487179365584</v>
      </c>
      <c r="S6" s="3">
        <f t="shared" ref="S6:W6" si="18">S3*(1-S30)</f>
        <v>34083.147703044429</v>
      </c>
      <c r="T6" s="3">
        <f t="shared" si="18"/>
        <v>33501.075422755595</v>
      </c>
      <c r="U6" s="3">
        <f t="shared" si="18"/>
        <v>32869.196892783642</v>
      </c>
      <c r="V6" s="3">
        <f t="shared" si="18"/>
        <v>32185.363411051749</v>
      </c>
      <c r="W6" s="3">
        <f t="shared" si="18"/>
        <v>31447.34849361367</v>
      </c>
    </row>
    <row r="7" spans="1:167" x14ac:dyDescent="0.25">
      <c r="A7" s="3" t="s">
        <v>14</v>
      </c>
      <c r="K7" s="3">
        <f>K4-SUM(K5:K6)</f>
        <v>170782</v>
      </c>
      <c r="L7" s="3">
        <f t="shared" ref="L7:M7" si="19">L4-SUM(L5:L6)</f>
        <v>169148</v>
      </c>
      <c r="M7" s="3">
        <f t="shared" si="19"/>
        <v>180683</v>
      </c>
      <c r="N7" s="3">
        <f t="shared" ref="N7" si="20">N4-SUM(N5:N6)</f>
        <v>190219.52664999999</v>
      </c>
      <c r="O7" s="3">
        <f t="shared" ref="O7" si="21">O4-SUM(O5:O6)</f>
        <v>200656.29249858248</v>
      </c>
      <c r="P7" s="3">
        <f t="shared" ref="P7" si="22">P4-SUM(P5:P6)</f>
        <v>212090.84145213361</v>
      </c>
      <c r="Q7" s="3">
        <f t="shared" ref="Q7" si="23">Q4-SUM(Q5:Q6)</f>
        <v>224631.50893184642</v>
      </c>
      <c r="R7" s="3">
        <f t="shared" ref="R7:W7" si="24">R4-SUM(R5:R6)</f>
        <v>238398.6191921891</v>
      </c>
      <c r="S7" s="3">
        <f t="shared" si="24"/>
        <v>243808.51269354264</v>
      </c>
      <c r="T7" s="3">
        <f t="shared" si="24"/>
        <v>249354.84931942343</v>
      </c>
      <c r="U7" s="3">
        <f t="shared" si="24"/>
        <v>255041.34427052096</v>
      </c>
      <c r="V7" s="3">
        <f t="shared" si="24"/>
        <v>260871.81884559142</v>
      </c>
      <c r="W7" s="3">
        <f t="shared" si="24"/>
        <v>266850.20355379948</v>
      </c>
    </row>
    <row r="8" spans="1:167" x14ac:dyDescent="0.25">
      <c r="A8" s="3" t="s">
        <v>15</v>
      </c>
      <c r="K8" s="3">
        <v>26251</v>
      </c>
      <c r="L8" s="3">
        <v>29915</v>
      </c>
      <c r="M8" s="3">
        <v>31370</v>
      </c>
      <c r="N8" s="3">
        <f>M8*(1+N19)</f>
        <v>32378.046894012045</v>
      </c>
      <c r="O8" s="3">
        <f t="shared" ref="O8:R8" si="25">N8*(1+O19)</f>
        <v>33465.608946365413</v>
      </c>
      <c r="P8" s="3">
        <f t="shared" si="25"/>
        <v>34640.424777583641</v>
      </c>
      <c r="Q8" s="3">
        <f t="shared" si="25"/>
        <v>35911.004741289507</v>
      </c>
      <c r="R8" s="3">
        <f t="shared" si="25"/>
        <v>37286.708076225441</v>
      </c>
      <c r="S8" s="3">
        <f t="shared" ref="S8" si="26">R8*(1+S19)</f>
        <v>37783.825447684954</v>
      </c>
      <c r="T8" s="3">
        <f t="shared" ref="T8" si="27">S8*(1+T19)</f>
        <v>38288.398998673016</v>
      </c>
      <c r="U8" s="3">
        <f t="shared" ref="U8" si="28">T8*(1+U19)</f>
        <v>38800.552991101184</v>
      </c>
      <c r="V8" s="3">
        <f t="shared" ref="V8" si="29">U8*(1+V19)</f>
        <v>39320.413923502456</v>
      </c>
      <c r="W8" s="3">
        <f t="shared" ref="W8" si="30">V8*(1+W19)</f>
        <v>39848.11057327754</v>
      </c>
    </row>
    <row r="9" spans="1:167" x14ac:dyDescent="0.25">
      <c r="A9" s="3" t="s">
        <v>16</v>
      </c>
      <c r="K9" s="3">
        <v>25094</v>
      </c>
      <c r="L9" s="3">
        <v>24932</v>
      </c>
      <c r="M9" s="3">
        <v>26097</v>
      </c>
      <c r="N9" s="3">
        <f>M9*(1+N19)</f>
        <v>26935.603754957996</v>
      </c>
      <c r="O9" s="3">
        <f t="shared" ref="O9:R9" si="31">N9*(1+O19)</f>
        <v>27840.356922961371</v>
      </c>
      <c r="P9" s="3">
        <f t="shared" si="31"/>
        <v>28817.697335690158</v>
      </c>
      <c r="Q9" s="3">
        <f t="shared" si="31"/>
        <v>29874.704836896151</v>
      </c>
      <c r="R9" s="3">
        <f t="shared" si="31"/>
        <v>31019.165465899117</v>
      </c>
      <c r="S9" s="3">
        <f t="shared" ref="S9" si="32">R9*(1+S19)</f>
        <v>31432.722113746706</v>
      </c>
      <c r="T9" s="3">
        <f t="shared" ref="T9" si="33">S9*(1+T19)</f>
        <v>31852.481627936548</v>
      </c>
      <c r="U9" s="3">
        <f t="shared" ref="U9" si="34">T9*(1+U19)</f>
        <v>32278.547383129338</v>
      </c>
      <c r="V9" s="3">
        <f t="shared" ref="V9" si="35">U9*(1+V19)</f>
        <v>32711.02461465232</v>
      </c>
      <c r="W9" s="3">
        <f t="shared" ref="W9" si="36">V9*(1+W19)</f>
        <v>33150.020453644363</v>
      </c>
    </row>
    <row r="10" spans="1:167" x14ac:dyDescent="0.25">
      <c r="A10" s="3" t="s">
        <v>17</v>
      </c>
      <c r="K10" s="3">
        <f>SUM(K8:K9)</f>
        <v>51345</v>
      </c>
      <c r="L10" s="3">
        <f t="shared" ref="L10:M10" si="37">SUM(L8:L9)</f>
        <v>54847</v>
      </c>
      <c r="M10" s="3">
        <f t="shared" si="37"/>
        <v>57467</v>
      </c>
      <c r="N10" s="3">
        <f t="shared" ref="N10" si="38">SUM(N8:N9)</f>
        <v>59313.65064897004</v>
      </c>
      <c r="O10" s="3">
        <f t="shared" ref="O10" si="39">SUM(O8:O9)</f>
        <v>61305.965869326785</v>
      </c>
      <c r="P10" s="3">
        <f t="shared" ref="P10" si="40">SUM(P8:P9)</f>
        <v>63458.122113273799</v>
      </c>
      <c r="Q10" s="3">
        <f t="shared" ref="Q10" si="41">SUM(Q8:Q9)</f>
        <v>65785.709578185662</v>
      </c>
      <c r="R10" s="3">
        <f t="shared" ref="R10:W10" si="42">SUM(R8:R9)</f>
        <v>68305.873542124551</v>
      </c>
      <c r="S10" s="3">
        <f t="shared" si="42"/>
        <v>69216.547561431653</v>
      </c>
      <c r="T10" s="3">
        <f t="shared" si="42"/>
        <v>70140.880626609563</v>
      </c>
      <c r="U10" s="3">
        <f t="shared" si="42"/>
        <v>71079.100374230518</v>
      </c>
      <c r="V10" s="3">
        <f t="shared" si="42"/>
        <v>72031.438538154776</v>
      </c>
      <c r="W10" s="3">
        <f t="shared" si="42"/>
        <v>72998.13102692191</v>
      </c>
    </row>
    <row r="11" spans="1:167" x14ac:dyDescent="0.25">
      <c r="A11" s="3" t="s">
        <v>18</v>
      </c>
      <c r="K11" s="3">
        <f>K7-K10</f>
        <v>119437</v>
      </c>
      <c r="L11" s="3">
        <f t="shared" ref="L11:M11" si="43">L7-L10</f>
        <v>114301</v>
      </c>
      <c r="M11" s="3">
        <f t="shared" si="43"/>
        <v>123216</v>
      </c>
      <c r="N11" s="3">
        <f t="shared" ref="N11" si="44">N7-N10</f>
        <v>130905.87600102994</v>
      </c>
      <c r="O11" s="3">
        <f t="shared" ref="O11" si="45">O7-O10</f>
        <v>139350.32662925569</v>
      </c>
      <c r="P11" s="3">
        <f t="shared" ref="P11" si="46">P7-P10</f>
        <v>148632.71933885981</v>
      </c>
      <c r="Q11" s="3">
        <f t="shared" ref="Q11" si="47">Q7-Q10</f>
        <v>158845.79935366075</v>
      </c>
      <c r="R11" s="3">
        <f t="shared" ref="R11:W11" si="48">R7-R10</f>
        <v>170092.74565006455</v>
      </c>
      <c r="S11" s="3">
        <f t="shared" si="48"/>
        <v>174591.96513211098</v>
      </c>
      <c r="T11" s="3">
        <f t="shared" si="48"/>
        <v>179213.96869281388</v>
      </c>
      <c r="U11" s="3">
        <f t="shared" si="48"/>
        <v>183962.24389629043</v>
      </c>
      <c r="V11" s="3">
        <f t="shared" si="48"/>
        <v>188840.38030743663</v>
      </c>
      <c r="W11" s="3">
        <f t="shared" si="48"/>
        <v>193852.07252687757</v>
      </c>
    </row>
    <row r="12" spans="1:167" x14ac:dyDescent="0.25">
      <c r="A12" s="3" t="s">
        <v>19</v>
      </c>
      <c r="K12" s="3">
        <v>-334</v>
      </c>
      <c r="L12" s="3">
        <v>-565</v>
      </c>
      <c r="M12" s="3">
        <v>269</v>
      </c>
      <c r="N12" s="3">
        <f t="shared" ref="N12:W12" si="49">M40*$Z$19</f>
        <v>-1810.86</v>
      </c>
      <c r="O12" s="3">
        <f t="shared" si="49"/>
        <v>4308.2437584488198</v>
      </c>
      <c r="P12" s="3">
        <f t="shared" si="49"/>
        <v>11117.659994826014</v>
      </c>
      <c r="Q12" s="3">
        <f t="shared" si="49"/>
        <v>18689.827975242719</v>
      </c>
      <c r="R12" s="3">
        <f t="shared" si="49"/>
        <v>27105.016710632743</v>
      </c>
      <c r="S12" s="3">
        <f t="shared" si="49"/>
        <v>36452.190646529794</v>
      </c>
      <c r="T12" s="3">
        <f t="shared" si="49"/>
        <v>46455.683630437372</v>
      </c>
      <c r="U12" s="3">
        <f t="shared" si="49"/>
        <v>57152.42515055948</v>
      </c>
      <c r="V12" s="3">
        <f t="shared" si="49"/>
        <v>68581.260463380153</v>
      </c>
      <c r="W12" s="3">
        <f t="shared" si="49"/>
        <v>80783.046235916889</v>
      </c>
    </row>
    <row r="13" spans="1:167" x14ac:dyDescent="0.25">
      <c r="A13" s="3" t="s">
        <v>20</v>
      </c>
      <c r="K13" s="3">
        <f>K11+K12</f>
        <v>119103</v>
      </c>
      <c r="L13" s="3">
        <f t="shared" ref="L13:M13" si="50">L11+L12</f>
        <v>113736</v>
      </c>
      <c r="M13" s="3">
        <f t="shared" si="50"/>
        <v>123485</v>
      </c>
      <c r="N13" s="3">
        <f t="shared" ref="N13" si="51">N11+N12</f>
        <v>129095.01600102994</v>
      </c>
      <c r="O13" s="3">
        <f t="shared" ref="O13" si="52">O11+O12</f>
        <v>143658.5703877045</v>
      </c>
      <c r="P13" s="3">
        <f t="shared" ref="P13" si="53">P11+P12</f>
        <v>159750.37933368582</v>
      </c>
      <c r="Q13" s="3">
        <f t="shared" ref="Q13" si="54">Q11+Q12</f>
        <v>177535.62732890347</v>
      </c>
      <c r="R13" s="3">
        <f t="shared" ref="R13:W13" si="55">R11+R12</f>
        <v>197197.76236069729</v>
      </c>
      <c r="S13" s="3">
        <f t="shared" si="55"/>
        <v>211044.15577864076</v>
      </c>
      <c r="T13" s="3">
        <f t="shared" si="55"/>
        <v>225669.65232325124</v>
      </c>
      <c r="U13" s="3">
        <f t="shared" si="55"/>
        <v>241114.66904684991</v>
      </c>
      <c r="V13" s="3">
        <f t="shared" si="55"/>
        <v>257421.64077081677</v>
      </c>
      <c r="W13" s="3">
        <f t="shared" si="55"/>
        <v>274635.11876279447</v>
      </c>
    </row>
    <row r="14" spans="1:167" x14ac:dyDescent="0.25">
      <c r="A14" s="3" t="s">
        <v>42</v>
      </c>
      <c r="K14" s="3">
        <v>19300</v>
      </c>
      <c r="L14" s="3">
        <v>16741</v>
      </c>
      <c r="M14" s="3">
        <v>29749</v>
      </c>
      <c r="N14" s="3">
        <f>N13*N21</f>
        <v>27109.953360216288</v>
      </c>
      <c r="O14" s="3">
        <f t="shared" ref="O14:R14" si="56">O13*O21</f>
        <v>30168.299781417943</v>
      </c>
      <c r="P14" s="3">
        <f t="shared" si="56"/>
        <v>33547.579660074021</v>
      </c>
      <c r="Q14" s="3">
        <f t="shared" si="56"/>
        <v>37282.481739069728</v>
      </c>
      <c r="R14" s="3">
        <f t="shared" si="56"/>
        <v>41411.530095746428</v>
      </c>
      <c r="S14" s="3">
        <f t="shared" ref="S14:W14" si="57">S13*S21</f>
        <v>44319.272713514561</v>
      </c>
      <c r="T14" s="3">
        <f t="shared" si="57"/>
        <v>47390.626987882759</v>
      </c>
      <c r="U14" s="3">
        <f t="shared" si="57"/>
        <v>50634.080499838477</v>
      </c>
      <c r="V14" s="3">
        <f t="shared" si="57"/>
        <v>54058.544561871517</v>
      </c>
      <c r="W14" s="3">
        <f t="shared" si="57"/>
        <v>57673.374940186841</v>
      </c>
    </row>
    <row r="15" spans="1:167" s="6" customFormat="1" x14ac:dyDescent="0.25">
      <c r="A15" s="6" t="s">
        <v>21</v>
      </c>
      <c r="K15" s="6">
        <f>K13-K14</f>
        <v>99803</v>
      </c>
      <c r="L15" s="6">
        <f t="shared" ref="L15:N15" si="58">L13-L14</f>
        <v>96995</v>
      </c>
      <c r="M15" s="6">
        <f t="shared" si="58"/>
        <v>93736</v>
      </c>
      <c r="N15" s="6">
        <f t="shared" si="58"/>
        <v>101985.06264081366</v>
      </c>
      <c r="O15" s="6">
        <f t="shared" ref="O15" si="59">O13-O14</f>
        <v>113490.27060628656</v>
      </c>
      <c r="P15" s="6">
        <f t="shared" ref="P15" si="60">P13-P14</f>
        <v>126202.79967361179</v>
      </c>
      <c r="Q15" s="6">
        <f t="shared" ref="Q15" si="61">Q13-Q14</f>
        <v>140253.14558983373</v>
      </c>
      <c r="R15" s="6">
        <f t="shared" ref="R15:W15" si="62">R13-R14</f>
        <v>155786.23226495087</v>
      </c>
      <c r="S15" s="6">
        <f t="shared" si="62"/>
        <v>166724.8830651262</v>
      </c>
      <c r="T15" s="6">
        <f t="shared" si="62"/>
        <v>178279.02533536847</v>
      </c>
      <c r="U15" s="6">
        <f t="shared" si="62"/>
        <v>190480.58854701143</v>
      </c>
      <c r="V15" s="6">
        <f t="shared" si="62"/>
        <v>203363.09620894527</v>
      </c>
      <c r="W15" s="6">
        <f t="shared" si="62"/>
        <v>216961.74382260762</v>
      </c>
      <c r="X15" s="6">
        <f t="shared" ref="X15:BC15" si="63">W15*(1+$Z$20)</f>
        <v>219131.36126083368</v>
      </c>
      <c r="Y15" s="6">
        <f t="shared" si="63"/>
        <v>221322.67487344201</v>
      </c>
      <c r="Z15" s="6">
        <f t="shared" si="63"/>
        <v>223535.90162217643</v>
      </c>
      <c r="AA15" s="6">
        <f t="shared" si="63"/>
        <v>225771.26063839821</v>
      </c>
      <c r="AB15" s="6">
        <f t="shared" si="63"/>
        <v>228028.97324478219</v>
      </c>
      <c r="AC15" s="6">
        <f t="shared" si="63"/>
        <v>230309.26297723001</v>
      </c>
      <c r="AD15" s="6">
        <f t="shared" si="63"/>
        <v>232612.3556070023</v>
      </c>
      <c r="AE15" s="6">
        <f t="shared" si="63"/>
        <v>234938.47916307233</v>
      </c>
      <c r="AF15" s="6">
        <f t="shared" si="63"/>
        <v>237287.86395470306</v>
      </c>
      <c r="AG15" s="6">
        <f t="shared" si="63"/>
        <v>239660.7425942501</v>
      </c>
      <c r="AH15" s="6">
        <f t="shared" si="63"/>
        <v>242057.35002019259</v>
      </c>
      <c r="AI15" s="6">
        <f t="shared" si="63"/>
        <v>244477.92352039451</v>
      </c>
      <c r="AJ15" s="6">
        <f t="shared" si="63"/>
        <v>246922.70275559847</v>
      </c>
      <c r="AK15" s="6">
        <f t="shared" si="63"/>
        <v>249391.92978315445</v>
      </c>
      <c r="AL15" s="6">
        <f t="shared" si="63"/>
        <v>251885.84908098599</v>
      </c>
      <c r="AM15" s="6">
        <f t="shared" si="63"/>
        <v>254404.70757179585</v>
      </c>
      <c r="AN15" s="6">
        <f t="shared" si="63"/>
        <v>256948.75464751382</v>
      </c>
      <c r="AO15" s="6">
        <f t="shared" si="63"/>
        <v>259518.24219398896</v>
      </c>
      <c r="AP15" s="6">
        <f t="shared" si="63"/>
        <v>262113.42461592885</v>
      </c>
      <c r="AQ15" s="6">
        <f t="shared" si="63"/>
        <v>264734.55886208813</v>
      </c>
      <c r="AR15" s="6">
        <f t="shared" si="63"/>
        <v>267381.904450709</v>
      </c>
      <c r="AS15" s="6">
        <f t="shared" si="63"/>
        <v>270055.72349521611</v>
      </c>
      <c r="AT15" s="6">
        <f t="shared" si="63"/>
        <v>272756.28073016828</v>
      </c>
      <c r="AU15" s="6">
        <f t="shared" si="63"/>
        <v>275483.84353746998</v>
      </c>
      <c r="AV15" s="6">
        <f t="shared" si="63"/>
        <v>278238.6819728447</v>
      </c>
      <c r="AW15" s="6">
        <f t="shared" si="63"/>
        <v>281021.06879257318</v>
      </c>
      <c r="AX15" s="6">
        <f t="shared" si="63"/>
        <v>283831.27948049892</v>
      </c>
      <c r="AY15" s="6">
        <f t="shared" si="63"/>
        <v>286669.5922753039</v>
      </c>
      <c r="AZ15" s="6">
        <f t="shared" si="63"/>
        <v>289536.28819805692</v>
      </c>
      <c r="BA15" s="6">
        <f t="shared" si="63"/>
        <v>292431.65108003747</v>
      </c>
      <c r="BB15" s="6">
        <f t="shared" si="63"/>
        <v>295355.96759083786</v>
      </c>
      <c r="BC15" s="6">
        <f t="shared" si="63"/>
        <v>298309.52726674621</v>
      </c>
      <c r="BD15" s="6">
        <f t="shared" ref="BD15:CI15" si="64">BC15*(1+$Z$20)</f>
        <v>301292.62253941369</v>
      </c>
      <c r="BE15" s="6">
        <f t="shared" si="64"/>
        <v>304305.54876480781</v>
      </c>
      <c r="BF15" s="6">
        <f t="shared" si="64"/>
        <v>307348.60425245587</v>
      </c>
      <c r="BG15" s="6">
        <f t="shared" si="64"/>
        <v>310422.09029498044</v>
      </c>
      <c r="BH15" s="6">
        <f t="shared" si="64"/>
        <v>313526.31119793025</v>
      </c>
      <c r="BI15" s="6">
        <f t="shared" si="64"/>
        <v>316661.57430990954</v>
      </c>
      <c r="BJ15" s="6">
        <f t="shared" si="64"/>
        <v>319828.19005300861</v>
      </c>
      <c r="BK15" s="6">
        <f t="shared" si="64"/>
        <v>323026.47195353871</v>
      </c>
      <c r="BL15" s="6">
        <f t="shared" si="64"/>
        <v>326256.73667307408</v>
      </c>
      <c r="BM15" s="6">
        <f t="shared" si="64"/>
        <v>329519.30403980485</v>
      </c>
      <c r="BN15" s="6">
        <f t="shared" si="64"/>
        <v>332814.49708020291</v>
      </c>
      <c r="BO15" s="6">
        <f t="shared" si="64"/>
        <v>336142.64205100492</v>
      </c>
      <c r="BP15" s="6">
        <f t="shared" si="64"/>
        <v>339504.06847151497</v>
      </c>
      <c r="BQ15" s="6">
        <f t="shared" si="64"/>
        <v>342899.10915623012</v>
      </c>
      <c r="BR15" s="6">
        <f t="shared" si="64"/>
        <v>346328.10024779243</v>
      </c>
      <c r="BS15" s="6">
        <f t="shared" si="64"/>
        <v>349791.38125027035</v>
      </c>
      <c r="BT15" s="6">
        <f t="shared" si="64"/>
        <v>353289.29506277305</v>
      </c>
      <c r="BU15" s="6">
        <f t="shared" si="64"/>
        <v>356822.18801340077</v>
      </c>
      <c r="BV15" s="6">
        <f t="shared" si="64"/>
        <v>360390.40989353479</v>
      </c>
      <c r="BW15" s="6">
        <f t="shared" si="64"/>
        <v>363994.31399247015</v>
      </c>
      <c r="BX15" s="6">
        <f t="shared" si="64"/>
        <v>367634.25713239488</v>
      </c>
      <c r="BY15" s="6">
        <f t="shared" si="64"/>
        <v>371310.59970371885</v>
      </c>
      <c r="BZ15" s="6">
        <f t="shared" si="64"/>
        <v>375023.70570075605</v>
      </c>
      <c r="CA15" s="6">
        <f t="shared" si="64"/>
        <v>378773.94275776361</v>
      </c>
      <c r="CB15" s="6">
        <f t="shared" si="64"/>
        <v>382561.68218534125</v>
      </c>
      <c r="CC15" s="6">
        <f t="shared" si="64"/>
        <v>386387.2990071947</v>
      </c>
      <c r="CD15" s="6">
        <f t="shared" si="64"/>
        <v>390251.17199726665</v>
      </c>
      <c r="CE15" s="6">
        <f t="shared" si="64"/>
        <v>394153.6837172393</v>
      </c>
      <c r="CF15" s="6">
        <f t="shared" si="64"/>
        <v>398095.2205544117</v>
      </c>
      <c r="CG15" s="6">
        <f t="shared" si="64"/>
        <v>402076.17275995581</v>
      </c>
      <c r="CH15" s="6">
        <f t="shared" si="64"/>
        <v>406096.93448755535</v>
      </c>
      <c r="CI15" s="6">
        <f t="shared" si="64"/>
        <v>410157.90383243089</v>
      </c>
      <c r="CJ15" s="6">
        <f t="shared" ref="CJ15:DO15" si="65">CI15*(1+$Z$20)</f>
        <v>414259.48287075519</v>
      </c>
      <c r="CK15" s="6">
        <f t="shared" si="65"/>
        <v>418402.07769946277</v>
      </c>
      <c r="CL15" s="6">
        <f t="shared" si="65"/>
        <v>422586.09847645741</v>
      </c>
      <c r="CM15" s="6">
        <f t="shared" si="65"/>
        <v>426811.959461222</v>
      </c>
      <c r="CN15" s="6">
        <f t="shared" si="65"/>
        <v>431080.07905583421</v>
      </c>
      <c r="CO15" s="6">
        <f t="shared" si="65"/>
        <v>435390.87984639255</v>
      </c>
      <c r="CP15" s="6">
        <f t="shared" si="65"/>
        <v>439744.78864485648</v>
      </c>
      <c r="CQ15" s="6">
        <f t="shared" si="65"/>
        <v>444142.23653130507</v>
      </c>
      <c r="CR15" s="6">
        <f t="shared" si="65"/>
        <v>448583.65889661812</v>
      </c>
      <c r="CS15" s="6">
        <f t="shared" si="65"/>
        <v>453069.49548558431</v>
      </c>
      <c r="CT15" s="6">
        <f t="shared" si="65"/>
        <v>457600.19044044014</v>
      </c>
      <c r="CU15" s="6">
        <f t="shared" si="65"/>
        <v>462176.19234484457</v>
      </c>
      <c r="CV15" s="6">
        <f t="shared" si="65"/>
        <v>466797.95426829305</v>
      </c>
      <c r="CW15" s="6">
        <f t="shared" si="65"/>
        <v>471465.93381097598</v>
      </c>
      <c r="CX15" s="6">
        <f t="shared" si="65"/>
        <v>476180.59314908576</v>
      </c>
      <c r="CY15" s="6">
        <f t="shared" si="65"/>
        <v>480942.39908057661</v>
      </c>
      <c r="CZ15" s="6">
        <f t="shared" si="65"/>
        <v>485751.82307138236</v>
      </c>
      <c r="DA15" s="6">
        <f t="shared" si="65"/>
        <v>490609.3413020962</v>
      </c>
      <c r="DB15" s="6">
        <f t="shared" si="65"/>
        <v>495515.43471511715</v>
      </c>
      <c r="DC15" s="6">
        <f t="shared" si="65"/>
        <v>500470.58906226832</v>
      </c>
      <c r="DD15" s="6">
        <f t="shared" si="65"/>
        <v>505475.29495289101</v>
      </c>
      <c r="DE15" s="6">
        <f t="shared" si="65"/>
        <v>510530.04790241993</v>
      </c>
      <c r="DF15" s="6">
        <f t="shared" si="65"/>
        <v>515635.34838144411</v>
      </c>
      <c r="DG15" s="6">
        <f t="shared" si="65"/>
        <v>520791.70186525857</v>
      </c>
      <c r="DH15" s="6">
        <f t="shared" si="65"/>
        <v>525999.61888391117</v>
      </c>
      <c r="DI15" s="6">
        <f t="shared" si="65"/>
        <v>531259.61507275025</v>
      </c>
      <c r="DJ15" s="6">
        <f t="shared" si="65"/>
        <v>536572.21122347773</v>
      </c>
      <c r="DK15" s="6">
        <f t="shared" si="65"/>
        <v>541937.93333571253</v>
      </c>
      <c r="DL15" s="6">
        <f t="shared" si="65"/>
        <v>547357.31266906962</v>
      </c>
      <c r="DM15" s="6">
        <f t="shared" si="65"/>
        <v>552830.88579576032</v>
      </c>
      <c r="DN15" s="6">
        <f t="shared" si="65"/>
        <v>558359.19465371792</v>
      </c>
      <c r="DO15" s="6">
        <f t="shared" si="65"/>
        <v>563942.78660025506</v>
      </c>
      <c r="DP15" s="6">
        <f t="shared" ref="DP15:EU15" si="66">DO15*(1+$Z$20)</f>
        <v>569582.2144662576</v>
      </c>
      <c r="DQ15" s="6">
        <f t="shared" si="66"/>
        <v>575278.03661092022</v>
      </c>
      <c r="DR15" s="6">
        <f t="shared" si="66"/>
        <v>581030.81697702943</v>
      </c>
      <c r="DS15" s="6">
        <f t="shared" si="66"/>
        <v>586841.12514679972</v>
      </c>
      <c r="DT15" s="6">
        <f t="shared" si="66"/>
        <v>592709.53639826772</v>
      </c>
      <c r="DU15" s="6">
        <f t="shared" si="66"/>
        <v>598636.63176225044</v>
      </c>
      <c r="DV15" s="6">
        <f t="shared" si="66"/>
        <v>604622.99807987292</v>
      </c>
      <c r="DW15" s="6">
        <f t="shared" si="66"/>
        <v>610669.22806067171</v>
      </c>
      <c r="DX15" s="6">
        <f t="shared" si="66"/>
        <v>616775.92034127843</v>
      </c>
      <c r="DY15" s="6">
        <f t="shared" si="66"/>
        <v>622943.67954469123</v>
      </c>
      <c r="DZ15" s="6">
        <f t="shared" si="66"/>
        <v>629173.11634013813</v>
      </c>
      <c r="EA15" s="6">
        <f t="shared" si="66"/>
        <v>635464.84750353952</v>
      </c>
      <c r="EB15" s="6">
        <f t="shared" si="66"/>
        <v>641819.49597857497</v>
      </c>
      <c r="EC15" s="6">
        <f t="shared" si="66"/>
        <v>648237.69093836076</v>
      </c>
      <c r="ED15" s="6">
        <f t="shared" si="66"/>
        <v>654720.06784774433</v>
      </c>
      <c r="EE15" s="6">
        <f t="shared" si="66"/>
        <v>661267.26852622174</v>
      </c>
      <c r="EF15" s="6">
        <f t="shared" si="66"/>
        <v>667879.94121148402</v>
      </c>
      <c r="EG15" s="6">
        <f t="shared" si="66"/>
        <v>674558.74062359892</v>
      </c>
      <c r="EH15" s="6">
        <f t="shared" si="66"/>
        <v>681304.3280298349</v>
      </c>
      <c r="EI15" s="6">
        <f t="shared" si="66"/>
        <v>688117.37131013325</v>
      </c>
      <c r="EJ15" s="6">
        <f t="shared" si="66"/>
        <v>694998.54502323456</v>
      </c>
      <c r="EK15" s="6">
        <f t="shared" si="66"/>
        <v>701948.53047346696</v>
      </c>
      <c r="EL15" s="6">
        <f t="shared" si="66"/>
        <v>708968.01577820163</v>
      </c>
      <c r="EM15" s="6">
        <f t="shared" si="66"/>
        <v>716057.69593598368</v>
      </c>
      <c r="EN15" s="6">
        <f t="shared" si="66"/>
        <v>723218.27289534349</v>
      </c>
      <c r="EO15" s="6">
        <f t="shared" si="66"/>
        <v>730450.45562429691</v>
      </c>
      <c r="EP15" s="6">
        <f t="shared" si="66"/>
        <v>737754.96018053987</v>
      </c>
      <c r="EQ15" s="6">
        <f t="shared" si="66"/>
        <v>745132.50978234527</v>
      </c>
      <c r="ER15" s="6">
        <f t="shared" si="66"/>
        <v>752583.83488016878</v>
      </c>
      <c r="ES15" s="6">
        <f t="shared" si="66"/>
        <v>760109.6732289705</v>
      </c>
      <c r="ET15" s="6">
        <f t="shared" si="66"/>
        <v>767710.76996126026</v>
      </c>
      <c r="EU15" s="6">
        <f t="shared" si="66"/>
        <v>775387.87766087288</v>
      </c>
      <c r="EV15" s="6">
        <f t="shared" ref="EV15:FK15" si="67">EU15*(1+$Z$20)</f>
        <v>783141.75643748161</v>
      </c>
      <c r="EW15" s="6">
        <f t="shared" si="67"/>
        <v>790973.17400185647</v>
      </c>
      <c r="EX15" s="6">
        <f t="shared" si="67"/>
        <v>798882.90574187506</v>
      </c>
      <c r="EY15" s="6">
        <f t="shared" si="67"/>
        <v>806871.7347992938</v>
      </c>
      <c r="EZ15" s="6">
        <f t="shared" si="67"/>
        <v>814940.45214728673</v>
      </c>
      <c r="FA15" s="6">
        <f t="shared" si="67"/>
        <v>823089.8566687596</v>
      </c>
      <c r="FB15" s="6">
        <f t="shared" si="67"/>
        <v>831320.7552354472</v>
      </c>
      <c r="FC15" s="6">
        <f t="shared" si="67"/>
        <v>839633.96278780163</v>
      </c>
      <c r="FD15" s="6">
        <f t="shared" si="67"/>
        <v>848030.30241567967</v>
      </c>
      <c r="FE15" s="6">
        <f t="shared" si="67"/>
        <v>856510.60543983651</v>
      </c>
      <c r="FF15" s="6">
        <f t="shared" si="67"/>
        <v>865075.71149423486</v>
      </c>
      <c r="FG15" s="6">
        <f t="shared" si="67"/>
        <v>873726.46860917716</v>
      </c>
      <c r="FH15" s="6">
        <f t="shared" si="67"/>
        <v>882463.73329526896</v>
      </c>
      <c r="FI15" s="6">
        <f t="shared" si="67"/>
        <v>891288.37062822166</v>
      </c>
      <c r="FJ15" s="6">
        <f t="shared" si="67"/>
        <v>900201.2543345039</v>
      </c>
      <c r="FK15" s="6">
        <f t="shared" si="67"/>
        <v>909203.266877849</v>
      </c>
    </row>
    <row r="16" spans="1:167" x14ac:dyDescent="0.25">
      <c r="A16" s="3" t="s">
        <v>22</v>
      </c>
      <c r="K16" s="2">
        <f>K15/K17</f>
        <v>6.1132073160273928</v>
      </c>
      <c r="L16" s="2">
        <f t="shared" ref="L16:N16" si="68">L15/L17</f>
        <v>6.1340711462450592</v>
      </c>
      <c r="M16" s="2">
        <f t="shared" si="68"/>
        <v>6.08355345564995</v>
      </c>
      <c r="N16" s="2">
        <f t="shared" si="68"/>
        <v>6.7468287007683028</v>
      </c>
      <c r="O16" s="2">
        <f t="shared" ref="O16" si="69">O15/O17</f>
        <v>7.5079565100745276</v>
      </c>
      <c r="P16" s="2">
        <f t="shared" ref="P16" si="70">P15/P17</f>
        <v>8.3489547283416119</v>
      </c>
      <c r="Q16" s="2">
        <f t="shared" ref="Q16" si="71">Q15/Q17</f>
        <v>9.2784563105208875</v>
      </c>
      <c r="R16" s="2">
        <f t="shared" ref="R16:W16" si="72">R15/R17</f>
        <v>10.306048707657506</v>
      </c>
      <c r="S16" s="2">
        <f t="shared" si="72"/>
        <v>11.02969588946323</v>
      </c>
      <c r="T16" s="2">
        <f t="shared" si="72"/>
        <v>11.794060951003472</v>
      </c>
      <c r="U16" s="2">
        <f t="shared" si="72"/>
        <v>12.601256188608854</v>
      </c>
      <c r="V16" s="2">
        <f t="shared" si="72"/>
        <v>13.453499352272113</v>
      </c>
      <c r="W16" s="2">
        <f t="shared" si="72"/>
        <v>14.353118802765787</v>
      </c>
    </row>
    <row r="17" spans="1:26" x14ac:dyDescent="0.25">
      <c r="A17" s="3" t="s">
        <v>2</v>
      </c>
      <c r="K17" s="3">
        <v>16325.8</v>
      </c>
      <c r="L17" s="3">
        <v>15812.5</v>
      </c>
      <c r="M17" s="3">
        <v>15408.1</v>
      </c>
      <c r="N17" s="3">
        <v>15116</v>
      </c>
      <c r="O17" s="3">
        <v>15116</v>
      </c>
      <c r="P17" s="3">
        <v>15116</v>
      </c>
      <c r="Q17" s="3">
        <v>15116</v>
      </c>
      <c r="R17" s="3">
        <v>15116</v>
      </c>
      <c r="S17" s="3">
        <v>15116</v>
      </c>
      <c r="T17" s="3">
        <v>15116</v>
      </c>
      <c r="U17" s="3">
        <v>15116</v>
      </c>
      <c r="V17" s="3">
        <v>15116</v>
      </c>
      <c r="W17" s="3">
        <v>15116</v>
      </c>
    </row>
    <row r="18" spans="1:26" x14ac:dyDescent="0.25">
      <c r="M18" s="5" t="s">
        <v>52</v>
      </c>
      <c r="O18" s="2"/>
      <c r="P18" s="5"/>
      <c r="Q18" s="5"/>
      <c r="R18" s="5"/>
      <c r="S18" s="5"/>
      <c r="T18" s="5"/>
      <c r="U18" s="5"/>
      <c r="V18" s="5"/>
      <c r="W18" s="5"/>
    </row>
    <row r="19" spans="1:26" s="6" customFormat="1" x14ac:dyDescent="0.25">
      <c r="A19" s="6" t="s">
        <v>23</v>
      </c>
      <c r="L19" s="4">
        <f t="shared" ref="L19:R19" si="73">L4/K4-1</f>
        <v>-2.800460530319937E-2</v>
      </c>
      <c r="M19" s="4">
        <f t="shared" si="73"/>
        <v>2.021994077514111E-2</v>
      </c>
      <c r="N19" s="4">
        <f t="shared" si="73"/>
        <v>3.2134105642717348E-2</v>
      </c>
      <c r="O19" s="4">
        <f t="shared" si="73"/>
        <v>3.3589489073057699E-2</v>
      </c>
      <c r="P19" s="4">
        <f t="shared" si="73"/>
        <v>3.5105168207190784E-2</v>
      </c>
      <c r="Q19" s="4">
        <f t="shared" si="73"/>
        <v>3.6679110370727352E-2</v>
      </c>
      <c r="R19" s="4">
        <f t="shared" si="73"/>
        <v>3.8308684060688103E-2</v>
      </c>
      <c r="S19" s="4">
        <f t="shared" ref="S19" si="74">S4/R4-1</f>
        <v>1.3332294458477056E-2</v>
      </c>
      <c r="T19" s="4">
        <f t="shared" ref="T19" si="75">T4/S4-1</f>
        <v>1.3354220887101143E-2</v>
      </c>
      <c r="U19" s="4">
        <f t="shared" ref="U19" si="76">U4/T4-1</f>
        <v>1.3376218536740536E-2</v>
      </c>
      <c r="V19" s="4">
        <f t="shared" ref="V19" si="77">V4/U4-1</f>
        <v>1.3398286682164029E-2</v>
      </c>
      <c r="W19" s="4">
        <f t="shared" ref="W19" si="78">W4/V4-1</f>
        <v>1.342042458662096E-2</v>
      </c>
      <c r="Y19" s="3" t="s">
        <v>35</v>
      </c>
      <c r="Z19" s="5">
        <v>0.06</v>
      </c>
    </row>
    <row r="20" spans="1:26" x14ac:dyDescent="0.25">
      <c r="A20" s="3" t="s">
        <v>24</v>
      </c>
      <c r="Y20" s="3" t="s">
        <v>36</v>
      </c>
      <c r="Z20" s="5">
        <v>0.01</v>
      </c>
    </row>
    <row r="21" spans="1:26" x14ac:dyDescent="0.25">
      <c r="A21" s="3" t="s">
        <v>43</v>
      </c>
      <c r="K21" s="5">
        <f>K7/K4</f>
        <v>0.43309630561360085</v>
      </c>
      <c r="L21" s="5">
        <f>L14/L13</f>
        <v>0.14719174228036858</v>
      </c>
      <c r="M21" s="5">
        <f>M14/M13</f>
        <v>0.24091185164189982</v>
      </c>
      <c r="N21" s="5">
        <v>0.21</v>
      </c>
      <c r="O21" s="5">
        <v>0.21</v>
      </c>
      <c r="P21" s="5">
        <v>0.21</v>
      </c>
      <c r="Q21" s="5">
        <v>0.21</v>
      </c>
      <c r="R21" s="5">
        <v>0.21</v>
      </c>
      <c r="S21" s="5">
        <v>0.21</v>
      </c>
      <c r="T21" s="5">
        <v>0.21</v>
      </c>
      <c r="U21" s="5">
        <v>0.21</v>
      </c>
      <c r="V21" s="5">
        <v>0.21</v>
      </c>
      <c r="W21" s="5">
        <v>0.21</v>
      </c>
      <c r="Y21" s="3" t="s">
        <v>37</v>
      </c>
      <c r="Z21" s="8">
        <v>0.08</v>
      </c>
    </row>
    <row r="22" spans="1:26" x14ac:dyDescent="0.25">
      <c r="Y22" s="3" t="s">
        <v>34</v>
      </c>
      <c r="Z22" s="6">
        <f>NPV(Z21,N36:FK36)+Sheet1!F5-Sheet1!F6</f>
        <v>2706615.2125333613</v>
      </c>
    </row>
    <row r="23" spans="1:26" s="6" customFormat="1" x14ac:dyDescent="0.25">
      <c r="A23" s="6" t="s">
        <v>25</v>
      </c>
      <c r="K23" s="4">
        <f>K7/K4</f>
        <v>0.43309630561360085</v>
      </c>
      <c r="L23" s="4">
        <f t="shared" ref="L23:R23" si="79">L7/L4</f>
        <v>0.44131129577207562</v>
      </c>
      <c r="M23" s="4">
        <f t="shared" si="79"/>
        <v>0.46206349815233932</v>
      </c>
      <c r="N23" s="4">
        <f t="shared" si="79"/>
        <v>0.47130639920321216</v>
      </c>
      <c r="O23" s="4">
        <f t="shared" si="79"/>
        <v>0.48100870854714056</v>
      </c>
      <c r="P23" s="4">
        <f t="shared" si="79"/>
        <v>0.49117651548564073</v>
      </c>
      <c r="Q23" s="4">
        <f t="shared" si="79"/>
        <v>0.50181311295600295</v>
      </c>
      <c r="R23" s="4">
        <f t="shared" si="79"/>
        <v>0.51291875639921802</v>
      </c>
      <c r="S23" s="4">
        <f t="shared" ref="S23:W23" si="80">S7/S4</f>
        <v>0.51765668457741343</v>
      </c>
      <c r="T23" s="4">
        <f t="shared" si="80"/>
        <v>0.5224557329836047</v>
      </c>
      <c r="U23" s="4">
        <f t="shared" si="80"/>
        <v>0.52731674316776822</v>
      </c>
      <c r="V23" s="4">
        <f t="shared" si="80"/>
        <v>0.53224056661570296</v>
      </c>
      <c r="W23" s="4">
        <f t="shared" si="80"/>
        <v>0.53722806482835384</v>
      </c>
      <c r="Y23" s="3" t="s">
        <v>1</v>
      </c>
      <c r="Z23" s="3">
        <f>Z22/Sheet1!F3</f>
        <v>179.05840869751924</v>
      </c>
    </row>
    <row r="24" spans="1:26" x14ac:dyDescent="0.25">
      <c r="A24" s="3" t="s">
        <v>26</v>
      </c>
      <c r="K24" s="5">
        <f>K11/K4</f>
        <v>0.30288744395528594</v>
      </c>
      <c r="L24" s="5">
        <f t="shared" ref="L24:R24" si="81">L11/L4</f>
        <v>0.29821412265024722</v>
      </c>
      <c r="M24" s="5">
        <f t="shared" si="81"/>
        <v>0.31510222870075566</v>
      </c>
      <c r="N24" s="5">
        <f t="shared" si="81"/>
        <v>0.32434512975162855</v>
      </c>
      <c r="O24" s="5">
        <f t="shared" si="81"/>
        <v>0.33404743909555695</v>
      </c>
      <c r="P24" s="5">
        <f t="shared" si="81"/>
        <v>0.34421524603405712</v>
      </c>
      <c r="Q24" s="5">
        <f t="shared" si="81"/>
        <v>0.3548518435044194</v>
      </c>
      <c r="R24" s="5">
        <f t="shared" si="81"/>
        <v>0.36595748694763436</v>
      </c>
      <c r="S24" s="5">
        <f t="shared" ref="S24:W24" si="82">S11/S4</f>
        <v>0.37069541512582982</v>
      </c>
      <c r="T24" s="5">
        <f t="shared" si="82"/>
        <v>0.37549446353202115</v>
      </c>
      <c r="U24" s="5">
        <f t="shared" si="82"/>
        <v>0.38035547371618461</v>
      </c>
      <c r="V24" s="5">
        <f t="shared" si="82"/>
        <v>0.38527929716411924</v>
      </c>
      <c r="W24" s="5">
        <f t="shared" si="82"/>
        <v>0.39026679537677017</v>
      </c>
      <c r="Y24" s="3" t="s">
        <v>38</v>
      </c>
      <c r="Z24" s="5">
        <f>Z23/Sheet1!F2-1</f>
        <v>-9.107406752528302E-2</v>
      </c>
    </row>
    <row r="25" spans="1:26" x14ac:dyDescent="0.25">
      <c r="A25" s="3" t="s">
        <v>53</v>
      </c>
      <c r="K25" s="5">
        <f>K36/K4</f>
        <v>0.28261498042238947</v>
      </c>
      <c r="L25" s="5">
        <f>L36/L4</f>
        <v>0.25981710737440805</v>
      </c>
      <c r="M25" s="5">
        <f>M36/M4</f>
        <v>0.27825386474356517</v>
      </c>
      <c r="N25" s="5">
        <f t="shared" ref="N25:W25" si="83">N36/N4</f>
        <v>0.28053433955550339</v>
      </c>
      <c r="O25" s="5">
        <f t="shared" si="83"/>
        <v>0.30203690419423274</v>
      </c>
      <c r="P25" s="5">
        <f t="shared" si="83"/>
        <v>0.32447847412935144</v>
      </c>
      <c r="Q25" s="5">
        <f t="shared" si="83"/>
        <v>0.34784451909845177</v>
      </c>
      <c r="R25" s="5">
        <f t="shared" si="83"/>
        <v>0.37211325640676685</v>
      </c>
      <c r="S25" s="5">
        <f t="shared" si="83"/>
        <v>0.39300186001698306</v>
      </c>
      <c r="T25" s="5">
        <f t="shared" si="83"/>
        <v>0.41469915902373555</v>
      </c>
      <c r="U25" s="5">
        <f t="shared" si="83"/>
        <v>0.43723298676840727</v>
      </c>
      <c r="V25" s="5">
        <f t="shared" si="83"/>
        <v>0.46063207423357705</v>
      </c>
      <c r="W25" s="5">
        <f t="shared" si="83"/>
        <v>0.48492607760888362</v>
      </c>
      <c r="Z25" s="5"/>
    </row>
    <row r="26" spans="1:26" x14ac:dyDescent="0.25"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6" x14ac:dyDescent="0.25">
      <c r="A27" s="3" t="s">
        <v>48</v>
      </c>
      <c r="K27" s="5"/>
      <c r="L27" s="5">
        <f>L2/K2-1</f>
        <v>-5.7286708686618226E-2</v>
      </c>
      <c r="M27" s="5">
        <f>M2/L2-1</f>
        <v>-1.0798933190197424E-2</v>
      </c>
      <c r="N27" s="5">
        <f t="shared" ref="N27:R27" si="84">N2/M2-1</f>
        <v>1.0000000000000009E-2</v>
      </c>
      <c r="O27" s="5">
        <f t="shared" si="84"/>
        <v>1.0000000000000009E-2</v>
      </c>
      <c r="P27" s="5">
        <f t="shared" si="84"/>
        <v>1.0000000000000009E-2</v>
      </c>
      <c r="Q27" s="5">
        <f t="shared" si="84"/>
        <v>1.0000000000000009E-2</v>
      </c>
      <c r="R27" s="5">
        <f t="shared" si="84"/>
        <v>1.0000000000000009E-2</v>
      </c>
      <c r="S27" s="5">
        <f t="shared" ref="S27:W28" si="85">S2/R2-1</f>
        <v>1.0000000000000009E-2</v>
      </c>
      <c r="T27" s="5">
        <f t="shared" si="85"/>
        <v>1.0000000000000009E-2</v>
      </c>
      <c r="U27" s="5">
        <f t="shared" si="85"/>
        <v>1.0000000000000009E-2</v>
      </c>
      <c r="V27" s="5">
        <f t="shared" si="85"/>
        <v>1.0000000000000009E-2</v>
      </c>
      <c r="W27" s="5">
        <f t="shared" si="85"/>
        <v>1.0000000000000009E-2</v>
      </c>
    </row>
    <row r="28" spans="1:26" x14ac:dyDescent="0.25">
      <c r="A28" s="3" t="s">
        <v>49</v>
      </c>
      <c r="K28" s="5"/>
      <c r="L28" s="5">
        <f>L3/K3-1</f>
        <v>9.0504166186691215E-2</v>
      </c>
      <c r="M28" s="5">
        <f>M3/L3-1</f>
        <v>0.12874413145539898</v>
      </c>
      <c r="N28" s="5">
        <f t="shared" ref="N28:R28" si="86">N3/M3-1</f>
        <v>0.10000000000000009</v>
      </c>
      <c r="O28" s="5">
        <f t="shared" si="86"/>
        <v>0.10000000000000009</v>
      </c>
      <c r="P28" s="5">
        <f t="shared" si="86"/>
        <v>0.10000000000000009</v>
      </c>
      <c r="Q28" s="5">
        <f t="shared" si="86"/>
        <v>0.10000000000000009</v>
      </c>
      <c r="R28" s="5">
        <f t="shared" si="86"/>
        <v>0.10000000000000009</v>
      </c>
      <c r="S28" s="5">
        <f t="shared" si="85"/>
        <v>2.0000000000000018E-2</v>
      </c>
      <c r="T28" s="5">
        <f t="shared" si="85"/>
        <v>2.0000000000000018E-2</v>
      </c>
      <c r="U28" s="5">
        <f t="shared" si="85"/>
        <v>2.0000000000000018E-2</v>
      </c>
      <c r="V28" s="5">
        <f t="shared" si="85"/>
        <v>2.0000000000000018E-2</v>
      </c>
      <c r="W28" s="5">
        <f t="shared" si="85"/>
        <v>2.0000000000000018E-2</v>
      </c>
    </row>
    <row r="29" spans="1:26" x14ac:dyDescent="0.25">
      <c r="A29" s="3" t="s">
        <v>46</v>
      </c>
      <c r="K29" s="5">
        <f t="shared" ref="K29:M30" si="87">(K2-K5)/K2</f>
        <v>0.36283479707399452</v>
      </c>
      <c r="L29" s="5">
        <f t="shared" si="87"/>
        <v>0.36500662562691849</v>
      </c>
      <c r="M29" s="5">
        <f t="shared" si="87"/>
        <v>0.37180617636485724</v>
      </c>
      <c r="N29" s="5">
        <f>M29*1.005</f>
        <v>0.37366520724668151</v>
      </c>
      <c r="O29" s="5">
        <f t="shared" ref="O29:W29" si="88">N29*1.005</f>
        <v>0.37553353328291489</v>
      </c>
      <c r="P29" s="5">
        <f t="shared" si="88"/>
        <v>0.37741120094932945</v>
      </c>
      <c r="Q29" s="5">
        <f t="shared" si="88"/>
        <v>0.37929825695407604</v>
      </c>
      <c r="R29" s="5">
        <f t="shared" si="88"/>
        <v>0.38119474823884636</v>
      </c>
      <c r="S29" s="5">
        <f t="shared" si="88"/>
        <v>0.38310072198004053</v>
      </c>
      <c r="T29" s="5">
        <f t="shared" si="88"/>
        <v>0.3850162255899407</v>
      </c>
      <c r="U29" s="5">
        <f t="shared" si="88"/>
        <v>0.38694130671789034</v>
      </c>
      <c r="V29" s="5">
        <f t="shared" si="88"/>
        <v>0.38887601325147975</v>
      </c>
      <c r="W29" s="5">
        <f t="shared" si="88"/>
        <v>0.3908203933177371</v>
      </c>
    </row>
    <row r="30" spans="1:26" x14ac:dyDescent="0.25">
      <c r="A30" s="3" t="s">
        <v>47</v>
      </c>
      <c r="K30" s="5">
        <f t="shared" si="87"/>
        <v>0.71745446633132381</v>
      </c>
      <c r="L30" s="5">
        <f t="shared" si="87"/>
        <v>0.70827464788732397</v>
      </c>
      <c r="M30" s="5">
        <f t="shared" si="87"/>
        <v>0.7388035645582256</v>
      </c>
      <c r="N30" s="5">
        <f>M30*1.01</f>
        <v>0.74619160020380781</v>
      </c>
      <c r="O30" s="5">
        <f t="shared" ref="O30:R30" si="89">N30*1.01</f>
        <v>0.75365351620584586</v>
      </c>
      <c r="P30" s="5">
        <f t="shared" si="89"/>
        <v>0.7611900513679043</v>
      </c>
      <c r="Q30" s="5">
        <f t="shared" si="89"/>
        <v>0.7688019518815834</v>
      </c>
      <c r="R30" s="5">
        <f t="shared" si="89"/>
        <v>0.77648997140039921</v>
      </c>
      <c r="S30" s="5">
        <f t="shared" ref="S30" si="90">R30*1.01</f>
        <v>0.78425487111440317</v>
      </c>
      <c r="T30" s="5">
        <f t="shared" ref="T30" si="91">S30*1.01</f>
        <v>0.79209741982554727</v>
      </c>
      <c r="U30" s="5">
        <f t="shared" ref="U30" si="92">T30*1.01</f>
        <v>0.8000183940238027</v>
      </c>
      <c r="V30" s="5">
        <f t="shared" ref="V30" si="93">U30*1.01</f>
        <v>0.80801857796404075</v>
      </c>
      <c r="W30" s="5">
        <f t="shared" ref="W30" si="94">V30*1.01</f>
        <v>0.81609876374368118</v>
      </c>
    </row>
    <row r="31" spans="1:26" x14ac:dyDescent="0.25">
      <c r="A31" s="3" t="s">
        <v>10</v>
      </c>
      <c r="K31" s="5">
        <f>K3/K4</f>
        <v>0.19813201192915542</v>
      </c>
      <c r="L31" s="5">
        <f t="shared" ref="L31:R31" si="95">L3/L4</f>
        <v>0.222288897295746</v>
      </c>
      <c r="M31" s="5">
        <f t="shared" si="95"/>
        <v>0.24593450714130449</v>
      </c>
      <c r="N31" s="5">
        <f t="shared" si="95"/>
        <v>0.26210543414508647</v>
      </c>
      <c r="O31" s="5">
        <f t="shared" si="95"/>
        <v>0.27894631341323162</v>
      </c>
      <c r="P31" s="5">
        <f t="shared" si="95"/>
        <v>0.29643455967474824</v>
      </c>
      <c r="Q31" s="5">
        <f t="shared" si="95"/>
        <v>0.31454093400764499</v>
      </c>
      <c r="R31" s="5">
        <f t="shared" si="95"/>
        <v>0.33322944584771141</v>
      </c>
      <c r="S31" s="5">
        <f t="shared" ref="S31:W31" si="96">S3/S4</f>
        <v>0.33542208871010515</v>
      </c>
      <c r="T31" s="5">
        <f t="shared" si="96"/>
        <v>0.33762185367403169</v>
      </c>
      <c r="U31" s="5">
        <f t="shared" si="96"/>
        <v>0.33982866821640029</v>
      </c>
      <c r="V31" s="5">
        <f t="shared" si="96"/>
        <v>0.34204245866210126</v>
      </c>
      <c r="W31" s="5">
        <f t="shared" si="96"/>
        <v>0.34426315019026227</v>
      </c>
    </row>
    <row r="32" spans="1:26" x14ac:dyDescent="0.25">
      <c r="A32" s="3" t="s">
        <v>9</v>
      </c>
      <c r="K32" s="5">
        <f>K2/K4</f>
        <v>0.80186798807084458</v>
      </c>
      <c r="L32" s="5">
        <f t="shared" ref="L32:R32" si="97">L2/L4</f>
        <v>0.77771110270425403</v>
      </c>
      <c r="M32" s="5">
        <f t="shared" si="97"/>
        <v>0.75406549285869551</v>
      </c>
      <c r="N32" s="5">
        <f t="shared" si="97"/>
        <v>0.73789456585491353</v>
      </c>
      <c r="O32" s="5">
        <f t="shared" si="97"/>
        <v>0.72105368658676827</v>
      </c>
      <c r="P32" s="5">
        <f t="shared" si="97"/>
        <v>0.70356544032525181</v>
      </c>
      <c r="Q32" s="5">
        <f t="shared" si="97"/>
        <v>0.68545906599235507</v>
      </c>
      <c r="R32" s="5">
        <f t="shared" si="97"/>
        <v>0.6667705541522887</v>
      </c>
      <c r="S32" s="5">
        <f t="shared" ref="S32:W32" si="98">S2/S4</f>
        <v>0.66457791128989496</v>
      </c>
      <c r="T32" s="5">
        <f t="shared" si="98"/>
        <v>0.66237814632596836</v>
      </c>
      <c r="U32" s="5">
        <f t="shared" si="98"/>
        <v>0.66017133178359966</v>
      </c>
      <c r="V32" s="5">
        <f t="shared" si="98"/>
        <v>0.65795754133789885</v>
      </c>
      <c r="W32" s="5">
        <f t="shared" si="98"/>
        <v>0.65573684980973779</v>
      </c>
    </row>
    <row r="33" spans="1:163" x14ac:dyDescent="0.25">
      <c r="M33" s="5"/>
    </row>
    <row r="34" spans="1:163" x14ac:dyDescent="0.25">
      <c r="A34" s="3" t="s">
        <v>27</v>
      </c>
      <c r="K34" s="3">
        <v>122151</v>
      </c>
      <c r="L34" s="3">
        <v>110543</v>
      </c>
      <c r="M34" s="3">
        <v>118254</v>
      </c>
      <c r="N34" s="3">
        <f>N15*N37</f>
        <v>124421.77642179266</v>
      </c>
      <c r="O34" s="3">
        <f t="shared" ref="O34:R34" si="99">O15*O37</f>
        <v>138458.13013966961</v>
      </c>
      <c r="P34" s="3">
        <f t="shared" si="99"/>
        <v>153967.41560180639</v>
      </c>
      <c r="Q34" s="3">
        <f t="shared" si="99"/>
        <v>171108.83761959715</v>
      </c>
      <c r="R34" s="3">
        <f t="shared" si="99"/>
        <v>190059.20336324006</v>
      </c>
      <c r="S34" s="3">
        <f t="shared" ref="S34:W34" si="100">S15*S37</f>
        <v>203404.35733945394</v>
      </c>
      <c r="T34" s="3">
        <f t="shared" si="100"/>
        <v>217500.41090914953</v>
      </c>
      <c r="U34" s="3">
        <f t="shared" si="100"/>
        <v>232386.31802735393</v>
      </c>
      <c r="V34" s="3">
        <f t="shared" si="100"/>
        <v>248102.97737491323</v>
      </c>
      <c r="W34" s="3">
        <f t="shared" si="100"/>
        <v>264693.32746358128</v>
      </c>
    </row>
    <row r="35" spans="1:163" x14ac:dyDescent="0.25">
      <c r="A35" s="3" t="s">
        <v>28</v>
      </c>
      <c r="K35" s="3">
        <v>10708</v>
      </c>
      <c r="L35" s="3">
        <v>10959</v>
      </c>
      <c r="M35" s="3">
        <v>9447</v>
      </c>
      <c r="N35" s="3">
        <f>N34*N38</f>
        <v>11197.959877961339</v>
      </c>
      <c r="O35" s="3">
        <f>O34*O38</f>
        <v>12461.231712570265</v>
      </c>
      <c r="P35" s="3">
        <f>P34*P38</f>
        <v>13857.067404162575</v>
      </c>
      <c r="Q35" s="3">
        <f>Q34*Q38</f>
        <v>15399.795385763742</v>
      </c>
      <c r="R35" s="3">
        <f>R34*R38</f>
        <v>17105.328302691603</v>
      </c>
      <c r="S35" s="3">
        <f t="shared" ref="S35:W35" si="101">S34*S38</f>
        <v>18306.392160550855</v>
      </c>
      <c r="T35" s="3">
        <f t="shared" si="101"/>
        <v>19575.036981823458</v>
      </c>
      <c r="U35" s="3">
        <f t="shared" si="101"/>
        <v>20914.768622461852</v>
      </c>
      <c r="V35" s="3">
        <f t="shared" si="101"/>
        <v>22329.26796374219</v>
      </c>
      <c r="W35" s="3">
        <f t="shared" si="101"/>
        <v>23822.399471722314</v>
      </c>
    </row>
    <row r="36" spans="1:163" s="6" customFormat="1" x14ac:dyDescent="0.25">
      <c r="A36" s="6" t="s">
        <v>29</v>
      </c>
      <c r="K36" s="6">
        <f>K34-K35</f>
        <v>111443</v>
      </c>
      <c r="L36" s="6">
        <f t="shared" ref="L36:M36" si="102">L34-L35</f>
        <v>99584</v>
      </c>
      <c r="M36" s="6">
        <f t="shared" si="102"/>
        <v>108807</v>
      </c>
      <c r="N36" s="6">
        <f t="shared" ref="N36" si="103">N34-N35</f>
        <v>113223.81654383132</v>
      </c>
      <c r="O36" s="6">
        <f t="shared" ref="O36" si="104">O34-O35</f>
        <v>125996.89842709934</v>
      </c>
      <c r="P36" s="6">
        <f t="shared" ref="P36" si="105">P34-P35</f>
        <v>140110.34819764382</v>
      </c>
      <c r="Q36" s="6">
        <f t="shared" ref="Q36" si="106">Q34-Q35</f>
        <v>155709.0422338334</v>
      </c>
      <c r="R36" s="6">
        <f t="shared" ref="R36:W36" si="107">R34-R35</f>
        <v>172953.87506054845</v>
      </c>
      <c r="S36" s="6">
        <f t="shared" si="107"/>
        <v>185097.96517890308</v>
      </c>
      <c r="T36" s="6">
        <f t="shared" si="107"/>
        <v>197925.37392732609</v>
      </c>
      <c r="U36" s="6">
        <f t="shared" si="107"/>
        <v>211471.54940489208</v>
      </c>
      <c r="V36" s="6">
        <f t="shared" si="107"/>
        <v>225773.70941117103</v>
      </c>
      <c r="W36" s="6">
        <f t="shared" si="107"/>
        <v>240870.92799185897</v>
      </c>
      <c r="X36" s="6">
        <f t="shared" ref="X36:BC36" si="108">W36*(1+$Z$20)</f>
        <v>243279.63727177755</v>
      </c>
      <c r="Y36" s="6">
        <f t="shared" si="108"/>
        <v>245712.43364449532</v>
      </c>
      <c r="Z36" s="6">
        <f t="shared" si="108"/>
        <v>248169.55798094027</v>
      </c>
      <c r="AA36" s="6">
        <f t="shared" si="108"/>
        <v>250651.25356074967</v>
      </c>
      <c r="AB36" s="6">
        <f t="shared" si="108"/>
        <v>253157.76609635717</v>
      </c>
      <c r="AC36" s="6">
        <f t="shared" si="108"/>
        <v>255689.34375732075</v>
      </c>
      <c r="AD36" s="6">
        <f t="shared" si="108"/>
        <v>258246.23719489397</v>
      </c>
      <c r="AE36" s="6">
        <f t="shared" si="108"/>
        <v>260828.6995668429</v>
      </c>
      <c r="AF36" s="6">
        <f t="shared" si="108"/>
        <v>263436.98656251136</v>
      </c>
      <c r="AG36" s="6">
        <f t="shared" si="108"/>
        <v>266071.35642813647</v>
      </c>
      <c r="AH36" s="6">
        <f t="shared" si="108"/>
        <v>268732.06999241782</v>
      </c>
      <c r="AI36" s="6">
        <f t="shared" si="108"/>
        <v>271419.39069234201</v>
      </c>
      <c r="AJ36" s="6">
        <f t="shared" si="108"/>
        <v>274133.58459926542</v>
      </c>
      <c r="AK36" s="6">
        <f t="shared" si="108"/>
        <v>276874.92044525809</v>
      </c>
      <c r="AL36" s="6">
        <f t="shared" si="108"/>
        <v>279643.66964971065</v>
      </c>
      <c r="AM36" s="6">
        <f t="shared" si="108"/>
        <v>282440.10634620773</v>
      </c>
      <c r="AN36" s="6">
        <f t="shared" si="108"/>
        <v>285264.50740966981</v>
      </c>
      <c r="AO36" s="6">
        <f t="shared" si="108"/>
        <v>288117.15248376649</v>
      </c>
      <c r="AP36" s="6">
        <f t="shared" si="108"/>
        <v>290998.32400860416</v>
      </c>
      <c r="AQ36" s="6">
        <f t="shared" si="108"/>
        <v>293908.30724869022</v>
      </c>
      <c r="AR36" s="6">
        <f t="shared" si="108"/>
        <v>296847.39032117714</v>
      </c>
      <c r="AS36" s="6">
        <f t="shared" si="108"/>
        <v>299815.8642243889</v>
      </c>
      <c r="AT36" s="6">
        <f t="shared" si="108"/>
        <v>302814.02286663279</v>
      </c>
      <c r="AU36" s="6">
        <f t="shared" si="108"/>
        <v>305842.1630952991</v>
      </c>
      <c r="AV36" s="6">
        <f t="shared" si="108"/>
        <v>308900.58472625207</v>
      </c>
      <c r="AW36" s="6">
        <f t="shared" si="108"/>
        <v>311989.59057351458</v>
      </c>
      <c r="AX36" s="6">
        <f t="shared" si="108"/>
        <v>315109.48647924972</v>
      </c>
      <c r="AY36" s="6">
        <f t="shared" si="108"/>
        <v>318260.58134404221</v>
      </c>
      <c r="AZ36" s="6">
        <f t="shared" si="108"/>
        <v>321443.18715748261</v>
      </c>
      <c r="BA36" s="6">
        <f t="shared" si="108"/>
        <v>324657.61902905745</v>
      </c>
      <c r="BB36" s="6">
        <f t="shared" si="108"/>
        <v>327904.19521934801</v>
      </c>
      <c r="BC36" s="6">
        <f t="shared" si="108"/>
        <v>331183.23717154149</v>
      </c>
      <c r="BD36" s="6">
        <f t="shared" ref="BD36:CI36" si="109">BC36*(1+$Z$20)</f>
        <v>334495.06954325689</v>
      </c>
      <c r="BE36" s="6">
        <f t="shared" si="109"/>
        <v>337840.02023868944</v>
      </c>
      <c r="BF36" s="6">
        <f t="shared" si="109"/>
        <v>341218.42044107633</v>
      </c>
      <c r="BG36" s="6">
        <f t="shared" si="109"/>
        <v>344630.6046454871</v>
      </c>
      <c r="BH36" s="6">
        <f t="shared" si="109"/>
        <v>348076.91069194197</v>
      </c>
      <c r="BI36" s="6">
        <f t="shared" si="109"/>
        <v>351557.67979886138</v>
      </c>
      <c r="BJ36" s="6">
        <f t="shared" si="109"/>
        <v>355073.25659685</v>
      </c>
      <c r="BK36" s="6">
        <f t="shared" si="109"/>
        <v>358623.98916281853</v>
      </c>
      <c r="BL36" s="6">
        <f t="shared" si="109"/>
        <v>362210.22905444674</v>
      </c>
      <c r="BM36" s="6">
        <f t="shared" si="109"/>
        <v>365832.33134499122</v>
      </c>
      <c r="BN36" s="6">
        <f t="shared" si="109"/>
        <v>369490.65465844114</v>
      </c>
      <c r="BO36" s="6">
        <f t="shared" si="109"/>
        <v>373185.56120502553</v>
      </c>
      <c r="BP36" s="6">
        <f t="shared" si="109"/>
        <v>376917.41681707581</v>
      </c>
      <c r="BQ36" s="6">
        <f t="shared" si="109"/>
        <v>380686.59098524658</v>
      </c>
      <c r="BR36" s="6">
        <f t="shared" si="109"/>
        <v>384493.45689509908</v>
      </c>
      <c r="BS36" s="6">
        <f t="shared" si="109"/>
        <v>388338.3914640501</v>
      </c>
      <c r="BT36" s="6">
        <f t="shared" si="109"/>
        <v>392221.77537869063</v>
      </c>
      <c r="BU36" s="6">
        <f t="shared" si="109"/>
        <v>396143.99313247751</v>
      </c>
      <c r="BV36" s="6">
        <f t="shared" si="109"/>
        <v>400105.43306380231</v>
      </c>
      <c r="BW36" s="6">
        <f t="shared" si="109"/>
        <v>404106.48739444034</v>
      </c>
      <c r="BX36" s="6">
        <f t="shared" si="109"/>
        <v>408147.55226838472</v>
      </c>
      <c r="BY36" s="6">
        <f t="shared" si="109"/>
        <v>412229.0277910686</v>
      </c>
      <c r="BZ36" s="6">
        <f t="shared" si="109"/>
        <v>416351.31806897931</v>
      </c>
      <c r="CA36" s="6">
        <f t="shared" si="109"/>
        <v>420514.83124966908</v>
      </c>
      <c r="CB36" s="6">
        <f t="shared" si="109"/>
        <v>424719.9795621658</v>
      </c>
      <c r="CC36" s="6">
        <f t="shared" si="109"/>
        <v>428967.17935778748</v>
      </c>
      <c r="CD36" s="6">
        <f t="shared" si="109"/>
        <v>433256.85115136538</v>
      </c>
      <c r="CE36" s="6">
        <f t="shared" si="109"/>
        <v>437589.41966287902</v>
      </c>
      <c r="CF36" s="6">
        <f t="shared" si="109"/>
        <v>441965.31385950779</v>
      </c>
      <c r="CG36" s="6">
        <f t="shared" si="109"/>
        <v>446384.9669981029</v>
      </c>
      <c r="CH36" s="6">
        <f t="shared" si="109"/>
        <v>450848.81666808395</v>
      </c>
      <c r="CI36" s="6">
        <f t="shared" si="109"/>
        <v>455357.3048347648</v>
      </c>
      <c r="CJ36" s="6">
        <f t="shared" ref="CJ36:DO36" si="110">CI36*(1+$Z$20)</f>
        <v>459910.87788311247</v>
      </c>
      <c r="CK36" s="6">
        <f t="shared" si="110"/>
        <v>464509.98666194361</v>
      </c>
      <c r="CL36" s="6">
        <f t="shared" si="110"/>
        <v>469155.08652856306</v>
      </c>
      <c r="CM36" s="6">
        <f t="shared" si="110"/>
        <v>473846.63739384868</v>
      </c>
      <c r="CN36" s="6">
        <f t="shared" si="110"/>
        <v>478585.10376778716</v>
      </c>
      <c r="CO36" s="6">
        <f t="shared" si="110"/>
        <v>483370.95480546507</v>
      </c>
      <c r="CP36" s="6">
        <f t="shared" si="110"/>
        <v>488204.66435351974</v>
      </c>
      <c r="CQ36" s="6">
        <f t="shared" si="110"/>
        <v>493086.71099705494</v>
      </c>
      <c r="CR36" s="6">
        <f t="shared" si="110"/>
        <v>498017.57810702547</v>
      </c>
      <c r="CS36" s="6">
        <f t="shared" si="110"/>
        <v>502997.75388809573</v>
      </c>
      <c r="CT36" s="6">
        <f t="shared" si="110"/>
        <v>508027.73142697668</v>
      </c>
      <c r="CU36" s="6">
        <f t="shared" si="110"/>
        <v>513108.00874124648</v>
      </c>
      <c r="CV36" s="6">
        <f t="shared" si="110"/>
        <v>518239.08882865898</v>
      </c>
      <c r="CW36" s="6">
        <f t="shared" si="110"/>
        <v>523421.47971694556</v>
      </c>
      <c r="CX36" s="6">
        <f t="shared" si="110"/>
        <v>528655.69451411499</v>
      </c>
      <c r="CY36" s="6">
        <f t="shared" si="110"/>
        <v>533942.25145925616</v>
      </c>
      <c r="CZ36" s="6">
        <f t="shared" si="110"/>
        <v>539281.67397384869</v>
      </c>
      <c r="DA36" s="6">
        <f t="shared" si="110"/>
        <v>544674.49071358715</v>
      </c>
      <c r="DB36" s="6">
        <f t="shared" si="110"/>
        <v>550121.23562072299</v>
      </c>
      <c r="DC36" s="6">
        <f t="shared" si="110"/>
        <v>555622.44797693018</v>
      </c>
      <c r="DD36" s="6">
        <f t="shared" si="110"/>
        <v>561178.67245669954</v>
      </c>
      <c r="DE36" s="6">
        <f t="shared" si="110"/>
        <v>566790.45918126649</v>
      </c>
      <c r="DF36" s="6">
        <f t="shared" si="110"/>
        <v>572458.36377307912</v>
      </c>
      <c r="DG36" s="6">
        <f t="shared" si="110"/>
        <v>578182.94741080992</v>
      </c>
      <c r="DH36" s="6">
        <f t="shared" si="110"/>
        <v>583964.77688491798</v>
      </c>
      <c r="DI36" s="6">
        <f t="shared" si="110"/>
        <v>589804.42465376714</v>
      </c>
      <c r="DJ36" s="6">
        <f t="shared" si="110"/>
        <v>595702.46890030487</v>
      </c>
      <c r="DK36" s="6">
        <f t="shared" si="110"/>
        <v>601659.49358930788</v>
      </c>
      <c r="DL36" s="6">
        <f t="shared" si="110"/>
        <v>607676.08852520096</v>
      </c>
      <c r="DM36" s="6">
        <f t="shared" si="110"/>
        <v>613752.849410453</v>
      </c>
      <c r="DN36" s="6">
        <f t="shared" si="110"/>
        <v>619890.37790455751</v>
      </c>
      <c r="DO36" s="6">
        <f t="shared" si="110"/>
        <v>626089.28168360307</v>
      </c>
      <c r="DP36" s="6">
        <f t="shared" ref="DP36:EU36" si="111">DO36*(1+$Z$20)</f>
        <v>632350.17450043908</v>
      </c>
      <c r="DQ36" s="6">
        <f t="shared" si="111"/>
        <v>638673.67624544352</v>
      </c>
      <c r="DR36" s="6">
        <f t="shared" si="111"/>
        <v>645060.41300789791</v>
      </c>
      <c r="DS36" s="6">
        <f t="shared" si="111"/>
        <v>651511.01713797695</v>
      </c>
      <c r="DT36" s="6">
        <f t="shared" si="111"/>
        <v>658026.1273093567</v>
      </c>
      <c r="DU36" s="6">
        <f t="shared" si="111"/>
        <v>664606.38858245022</v>
      </c>
      <c r="DV36" s="6">
        <f t="shared" si="111"/>
        <v>671252.45246827474</v>
      </c>
      <c r="DW36" s="6">
        <f t="shared" si="111"/>
        <v>677964.97699295753</v>
      </c>
      <c r="DX36" s="6">
        <f t="shared" si="111"/>
        <v>684744.62676288711</v>
      </c>
      <c r="DY36" s="6">
        <f t="shared" si="111"/>
        <v>691592.07303051604</v>
      </c>
      <c r="DZ36" s="6">
        <f t="shared" si="111"/>
        <v>698507.99376082118</v>
      </c>
      <c r="EA36" s="6">
        <f t="shared" si="111"/>
        <v>705493.07369842939</v>
      </c>
      <c r="EB36" s="6">
        <f t="shared" si="111"/>
        <v>712548.00443541363</v>
      </c>
      <c r="EC36" s="6">
        <f t="shared" si="111"/>
        <v>719673.48447976774</v>
      </c>
      <c r="ED36" s="6">
        <f t="shared" si="111"/>
        <v>726870.21932456538</v>
      </c>
      <c r="EE36" s="6">
        <f t="shared" si="111"/>
        <v>734138.92151781102</v>
      </c>
      <c r="EF36" s="6">
        <f t="shared" si="111"/>
        <v>741480.31073298911</v>
      </c>
      <c r="EG36" s="6">
        <f t="shared" si="111"/>
        <v>748895.11384031898</v>
      </c>
      <c r="EH36" s="6">
        <f t="shared" si="111"/>
        <v>756384.06497872213</v>
      </c>
      <c r="EI36" s="6">
        <f t="shared" si="111"/>
        <v>763947.90562850935</v>
      </c>
      <c r="EJ36" s="6">
        <f t="shared" si="111"/>
        <v>771587.38468479447</v>
      </c>
      <c r="EK36" s="6">
        <f t="shared" si="111"/>
        <v>779303.25853164238</v>
      </c>
      <c r="EL36" s="6">
        <f t="shared" si="111"/>
        <v>787096.29111695883</v>
      </c>
      <c r="EM36" s="6">
        <f t="shared" si="111"/>
        <v>794967.25402812846</v>
      </c>
      <c r="EN36" s="6">
        <f t="shared" si="111"/>
        <v>802916.92656840978</v>
      </c>
      <c r="EO36" s="6">
        <f t="shared" si="111"/>
        <v>810946.09583409387</v>
      </c>
      <c r="EP36" s="6">
        <f t="shared" si="111"/>
        <v>819055.55679243477</v>
      </c>
      <c r="EQ36" s="6">
        <f t="shared" si="111"/>
        <v>827246.11236035917</v>
      </c>
      <c r="ER36" s="6">
        <f t="shared" si="111"/>
        <v>835518.5734839628</v>
      </c>
      <c r="ES36" s="6">
        <f t="shared" si="111"/>
        <v>843873.75921880244</v>
      </c>
      <c r="ET36" s="6">
        <f t="shared" si="111"/>
        <v>852312.4968109905</v>
      </c>
      <c r="EU36" s="6">
        <f t="shared" si="111"/>
        <v>860835.62177910039</v>
      </c>
      <c r="EV36" s="6">
        <f t="shared" ref="EV36:FG36" si="112">EU36*(1+$Z$20)</f>
        <v>869443.97799689136</v>
      </c>
      <c r="EW36" s="6">
        <f t="shared" si="112"/>
        <v>878138.4177768603</v>
      </c>
      <c r="EX36" s="6">
        <f t="shared" si="112"/>
        <v>886919.8019546289</v>
      </c>
      <c r="EY36" s="6">
        <f t="shared" si="112"/>
        <v>895788.99997417524</v>
      </c>
      <c r="EZ36" s="6">
        <f t="shared" si="112"/>
        <v>904746.88997391704</v>
      </c>
      <c r="FA36" s="6">
        <f t="shared" si="112"/>
        <v>913794.35887365625</v>
      </c>
      <c r="FB36" s="6">
        <f t="shared" si="112"/>
        <v>922932.30246239284</v>
      </c>
      <c r="FC36" s="6">
        <f t="shared" si="112"/>
        <v>932161.62548701675</v>
      </c>
      <c r="FD36" s="6">
        <f t="shared" si="112"/>
        <v>941483.24174188694</v>
      </c>
      <c r="FE36" s="6">
        <f t="shared" si="112"/>
        <v>950898.07415930578</v>
      </c>
      <c r="FF36" s="6">
        <f t="shared" si="112"/>
        <v>960407.05490089883</v>
      </c>
      <c r="FG36" s="6">
        <f t="shared" si="112"/>
        <v>970011.12544990785</v>
      </c>
    </row>
    <row r="37" spans="1:163" x14ac:dyDescent="0.25">
      <c r="K37" s="5">
        <f>K34/K15</f>
        <v>1.2239211246154926</v>
      </c>
      <c r="L37" s="5">
        <f>L34/L15</f>
        <v>1.1396773029537606</v>
      </c>
      <c r="M37" s="5">
        <f>M34/M15</f>
        <v>1.2615643936161134</v>
      </c>
      <c r="N37" s="5">
        <v>1.22</v>
      </c>
      <c r="O37" s="5">
        <v>1.22</v>
      </c>
      <c r="P37" s="5">
        <v>1.22</v>
      </c>
      <c r="Q37" s="5">
        <v>1.22</v>
      </c>
      <c r="R37" s="5">
        <v>1.22</v>
      </c>
      <c r="S37" s="5">
        <v>1.22</v>
      </c>
      <c r="T37" s="5">
        <v>1.22</v>
      </c>
      <c r="U37" s="5">
        <v>1.22</v>
      </c>
      <c r="V37" s="5">
        <v>1.22</v>
      </c>
      <c r="W37" s="5">
        <v>1.22</v>
      </c>
    </row>
    <row r="38" spans="1:163" x14ac:dyDescent="0.25">
      <c r="K38" s="5">
        <f>K35/K34</f>
        <v>8.7661992124501639E-2</v>
      </c>
      <c r="L38" s="5">
        <f>L35/L34</f>
        <v>9.9137892042010803E-2</v>
      </c>
      <c r="M38" s="5">
        <f>M35/M34</f>
        <v>7.9887361104064136E-2</v>
      </c>
      <c r="N38" s="5">
        <v>0.09</v>
      </c>
      <c r="O38" s="5">
        <v>0.09</v>
      </c>
      <c r="P38" s="5">
        <v>0.09</v>
      </c>
      <c r="Q38" s="5">
        <v>0.09</v>
      </c>
      <c r="R38" s="5">
        <v>0.09</v>
      </c>
      <c r="S38" s="5">
        <v>0.09</v>
      </c>
      <c r="T38" s="5">
        <v>0.09</v>
      </c>
      <c r="U38" s="5">
        <v>0.09</v>
      </c>
      <c r="V38" s="5">
        <v>0.09</v>
      </c>
      <c r="W38" s="5">
        <v>0.09</v>
      </c>
    </row>
    <row r="39" spans="1:163" x14ac:dyDescent="0.25"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163" x14ac:dyDescent="0.25">
      <c r="A40" s="3" t="s">
        <v>39</v>
      </c>
      <c r="M40" s="3">
        <f>M45-M49</f>
        <v>-30181</v>
      </c>
      <c r="N40" s="3">
        <f>M40+N15</f>
        <v>71804.06264081366</v>
      </c>
      <c r="O40" s="3">
        <f t="shared" ref="O40:R40" si="113">N40+O15</f>
        <v>185294.33324710024</v>
      </c>
      <c r="P40" s="3">
        <f t="shared" si="113"/>
        <v>311497.132920712</v>
      </c>
      <c r="Q40" s="3">
        <f t="shared" si="113"/>
        <v>451750.27851054573</v>
      </c>
      <c r="R40" s="3">
        <f t="shared" si="113"/>
        <v>607536.5107754966</v>
      </c>
      <c r="S40" s="3">
        <f t="shared" ref="S40" si="114">R40+S15</f>
        <v>774261.39384062286</v>
      </c>
      <c r="T40" s="3">
        <f t="shared" ref="T40" si="115">S40+T15</f>
        <v>952540.41917599132</v>
      </c>
      <c r="U40" s="3">
        <f t="shared" ref="U40" si="116">T40+U15</f>
        <v>1143021.0077230027</v>
      </c>
      <c r="V40" s="3">
        <f t="shared" ref="V40" si="117">U40+V15</f>
        <v>1346384.1039319481</v>
      </c>
      <c r="W40" s="3">
        <f t="shared" ref="W40" si="118">V40+W15</f>
        <v>1563345.8477545558</v>
      </c>
    </row>
    <row r="42" spans="1:163" x14ac:dyDescent="0.25">
      <c r="A42" s="3" t="s">
        <v>44</v>
      </c>
      <c r="K42" s="3">
        <f>K15</f>
        <v>99803</v>
      </c>
      <c r="L42" s="3">
        <f>L15</f>
        <v>96995</v>
      </c>
      <c r="M42" s="3">
        <f>M15</f>
        <v>93736</v>
      </c>
      <c r="N42" s="3">
        <f t="shared" ref="N42:R42" si="119">N15</f>
        <v>101985.06264081366</v>
      </c>
      <c r="O42" s="3">
        <f t="shared" si="119"/>
        <v>113490.27060628656</v>
      </c>
      <c r="P42" s="3">
        <f t="shared" si="119"/>
        <v>126202.79967361179</v>
      </c>
      <c r="Q42" s="3">
        <f t="shared" si="119"/>
        <v>140253.14558983373</v>
      </c>
      <c r="R42" s="3">
        <f t="shared" si="119"/>
        <v>155786.23226495087</v>
      </c>
    </row>
    <row r="43" spans="1:163" x14ac:dyDescent="0.25">
      <c r="A43" s="3" t="s">
        <v>45</v>
      </c>
    </row>
    <row r="45" spans="1:163" x14ac:dyDescent="0.25">
      <c r="A45" s="3" t="s">
        <v>4</v>
      </c>
      <c r="M45" s="3">
        <f>30299+23476</f>
        <v>53775</v>
      </c>
    </row>
    <row r="46" spans="1:163" x14ac:dyDescent="0.25">
      <c r="A46" s="3" t="s">
        <v>41</v>
      </c>
    </row>
    <row r="48" spans="1:163" x14ac:dyDescent="0.25">
      <c r="A48" s="3" t="s">
        <v>40</v>
      </c>
    </row>
    <row r="49" spans="1:13" x14ac:dyDescent="0.25">
      <c r="A49" s="3" t="s">
        <v>5</v>
      </c>
      <c r="M49" s="3">
        <v>83956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2025-04-07T04:22:48Z</dcterms:created>
  <dcterms:modified xsi:type="dcterms:W3CDTF">2025-05-12T07:49:58Z</dcterms:modified>
</cp:coreProperties>
</file>