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8EA3112-3244-4979-967F-18D0BF98808B}" xr6:coauthVersionLast="47" xr6:coauthVersionMax="47" xr10:uidLastSave="{00000000-0000-0000-0000-000000000000}"/>
  <bookViews>
    <workbookView xWindow="1560" yWindow="1395" windowWidth="19695" windowHeight="13635" activeTab="1" xr2:uid="{EE83D29F-F538-45D1-A7C5-3904247C57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2" l="1"/>
  <c r="Q12" i="2"/>
  <c r="P6" i="2"/>
  <c r="R26" i="2"/>
  <c r="S26" i="2" s="1"/>
  <c r="T26" i="2" s="1"/>
  <c r="Q26" i="2"/>
  <c r="N26" i="2"/>
  <c r="O26" i="2"/>
  <c r="M26" i="2"/>
  <c r="P5" i="2"/>
  <c r="Q5" i="2" s="1"/>
  <c r="R5" i="2" s="1"/>
  <c r="S5" i="2" s="1"/>
  <c r="T5" i="2" s="1"/>
  <c r="Q4" i="2"/>
  <c r="Q6" i="2" s="1"/>
  <c r="P4" i="2"/>
  <c r="R2" i="2"/>
  <c r="S2" i="2" s="1"/>
  <c r="Q2" i="2"/>
  <c r="Q3" i="2"/>
  <c r="R3" i="2" s="1"/>
  <c r="S3" i="2" s="1"/>
  <c r="T3" i="2" s="1"/>
  <c r="Q25" i="2"/>
  <c r="R25" i="2" s="1"/>
  <c r="S25" i="2" s="1"/>
  <c r="T25" i="2" s="1"/>
  <c r="N30" i="2"/>
  <c r="O30" i="2"/>
  <c r="M30" i="2"/>
  <c r="G6" i="2"/>
  <c r="H6" i="2" s="1"/>
  <c r="I6" i="2" s="1"/>
  <c r="O12" i="2"/>
  <c r="N12" i="2"/>
  <c r="M12" i="2"/>
  <c r="M6" i="2"/>
  <c r="N6" i="2"/>
  <c r="O6" i="2"/>
  <c r="M10" i="2"/>
  <c r="N10" i="2"/>
  <c r="O10" i="2"/>
  <c r="L6" i="2"/>
  <c r="L10" i="2"/>
  <c r="K6" i="2"/>
  <c r="K20" i="2" s="1"/>
  <c r="K10" i="2"/>
  <c r="O36" i="2"/>
  <c r="O34" i="2"/>
  <c r="F36" i="2"/>
  <c r="F34" i="2"/>
  <c r="F32" i="2" s="1"/>
  <c r="B12" i="2"/>
  <c r="F12" i="2"/>
  <c r="C10" i="2"/>
  <c r="D10" i="2"/>
  <c r="E10" i="2"/>
  <c r="F10" i="2"/>
  <c r="B10" i="2"/>
  <c r="C6" i="2"/>
  <c r="D6" i="2"/>
  <c r="E6" i="2"/>
  <c r="B6" i="2"/>
  <c r="F6" i="2"/>
  <c r="L1" i="2"/>
  <c r="M1" i="2" s="1"/>
  <c r="N1" i="2" s="1"/>
  <c r="O1" i="2" s="1"/>
  <c r="P1" i="2" s="1"/>
  <c r="Q1" i="2" s="1"/>
  <c r="R1" i="2" s="1"/>
  <c r="S1" i="2" s="1"/>
  <c r="T1" i="2" s="1"/>
  <c r="D6" i="1"/>
  <c r="D5" i="1"/>
  <c r="D4" i="1"/>
  <c r="D7" i="1" s="1"/>
  <c r="T2" i="2" l="1"/>
  <c r="T4" i="2" s="1"/>
  <c r="T6" i="2" s="1"/>
  <c r="S4" i="2"/>
  <c r="S6" i="2" s="1"/>
  <c r="R4" i="2"/>
  <c r="R6" i="2" s="1"/>
  <c r="M25" i="2"/>
  <c r="L11" i="2"/>
  <c r="L24" i="2" s="1"/>
  <c r="F11" i="2"/>
  <c r="O25" i="2"/>
  <c r="N25" i="2"/>
  <c r="O20" i="2"/>
  <c r="F14" i="2"/>
  <c r="F16" i="2" s="1"/>
  <c r="N20" i="2"/>
  <c r="L20" i="2"/>
  <c r="M20" i="2"/>
  <c r="G21" i="2"/>
  <c r="G9" i="2" s="1"/>
  <c r="L14" i="2"/>
  <c r="I21" i="2"/>
  <c r="H21" i="2"/>
  <c r="G12" i="2"/>
  <c r="O32" i="2"/>
  <c r="F24" i="2"/>
  <c r="D11" i="2"/>
  <c r="D14" i="2" s="1"/>
  <c r="O11" i="2"/>
  <c r="O14" i="2" s="1"/>
  <c r="N11" i="2"/>
  <c r="N14" i="2" s="1"/>
  <c r="K11" i="2"/>
  <c r="K14" i="2" s="1"/>
  <c r="F21" i="2"/>
  <c r="M11" i="2"/>
  <c r="M14" i="2" s="1"/>
  <c r="M24" i="2"/>
  <c r="M22" i="2"/>
  <c r="N24" i="2"/>
  <c r="E11" i="2"/>
  <c r="E14" i="2" s="1"/>
  <c r="D21" i="2"/>
  <c r="E21" i="2"/>
  <c r="F20" i="2"/>
  <c r="C11" i="2"/>
  <c r="C14" i="2" s="1"/>
  <c r="G20" i="2"/>
  <c r="C21" i="2"/>
  <c r="B11" i="2"/>
  <c r="B14" i="2" s="1"/>
  <c r="H20" i="2"/>
  <c r="I20" i="2"/>
  <c r="G8" i="2" l="1"/>
  <c r="F22" i="2"/>
  <c r="G7" i="2"/>
  <c r="P30" i="2"/>
  <c r="H9" i="2"/>
  <c r="I9" i="2" s="1"/>
  <c r="H8" i="2"/>
  <c r="I8" i="2" s="1"/>
  <c r="P20" i="2"/>
  <c r="H7" i="2"/>
  <c r="G10" i="2"/>
  <c r="E24" i="2"/>
  <c r="K16" i="2"/>
  <c r="K18" i="2" s="1"/>
  <c r="K22" i="2"/>
  <c r="B24" i="2"/>
  <c r="D24" i="2"/>
  <c r="K24" i="2"/>
  <c r="C16" i="2"/>
  <c r="C24" i="2"/>
  <c r="M16" i="2"/>
  <c r="M18" i="2" s="1"/>
  <c r="O24" i="2"/>
  <c r="N22" i="2"/>
  <c r="N16" i="2"/>
  <c r="N18" i="2" s="1"/>
  <c r="O22" i="2"/>
  <c r="O16" i="2"/>
  <c r="O18" i="2" s="1"/>
  <c r="L16" i="2"/>
  <c r="L18" i="2" s="1"/>
  <c r="L22" i="2"/>
  <c r="B16" i="2"/>
  <c r="B22" i="2"/>
  <c r="C22" i="2"/>
  <c r="Q30" i="2" l="1"/>
  <c r="R30" i="2"/>
  <c r="Q20" i="2"/>
  <c r="I7" i="2"/>
  <c r="I10" i="2" s="1"/>
  <c r="I11" i="2" s="1"/>
  <c r="I24" i="2" s="1"/>
  <c r="H10" i="2"/>
  <c r="H11" i="2" s="1"/>
  <c r="H24" i="2" s="1"/>
  <c r="D16" i="2"/>
  <c r="D22" i="2"/>
  <c r="E22" i="2"/>
  <c r="E16" i="2"/>
  <c r="S30" i="2" l="1"/>
  <c r="R20" i="2"/>
  <c r="G11" i="2"/>
  <c r="T30" i="2" l="1"/>
  <c r="U30" i="2" s="1"/>
  <c r="V30" i="2" s="1"/>
  <c r="W30" i="2" s="1"/>
  <c r="X30" i="2" s="1"/>
  <c r="Y30" i="2" s="1"/>
  <c r="Z30" i="2" s="1"/>
  <c r="AA30" i="2" s="1"/>
  <c r="AB30" i="2" s="1"/>
  <c r="AC30" i="2" s="1"/>
  <c r="AD30" i="2" s="1"/>
  <c r="AE30" i="2" s="1"/>
  <c r="AF30" i="2" s="1"/>
  <c r="AG30" i="2" s="1"/>
  <c r="AH30" i="2" s="1"/>
  <c r="AI30" i="2" s="1"/>
  <c r="AJ30" i="2" s="1"/>
  <c r="AK30" i="2" s="1"/>
  <c r="AL30" i="2" s="1"/>
  <c r="AM30" i="2" s="1"/>
  <c r="AN30" i="2" s="1"/>
  <c r="AO30" i="2" s="1"/>
  <c r="AP30" i="2" s="1"/>
  <c r="AQ30" i="2" s="1"/>
  <c r="AR30" i="2" s="1"/>
  <c r="AS30" i="2" s="1"/>
  <c r="AT30" i="2" s="1"/>
  <c r="AU30" i="2" s="1"/>
  <c r="AV30" i="2" s="1"/>
  <c r="AW30" i="2" s="1"/>
  <c r="AX30" i="2" s="1"/>
  <c r="AY30" i="2" s="1"/>
  <c r="AZ30" i="2" s="1"/>
  <c r="BA30" i="2" s="1"/>
  <c r="BB30" i="2" s="1"/>
  <c r="BC30" i="2" s="1"/>
  <c r="BD30" i="2" s="1"/>
  <c r="BE30" i="2" s="1"/>
  <c r="BF30" i="2" s="1"/>
  <c r="BG30" i="2" s="1"/>
  <c r="BH30" i="2" s="1"/>
  <c r="BI30" i="2" s="1"/>
  <c r="BJ30" i="2" s="1"/>
  <c r="BK30" i="2" s="1"/>
  <c r="BL30" i="2" s="1"/>
  <c r="BM30" i="2" s="1"/>
  <c r="BN30" i="2" s="1"/>
  <c r="BO30" i="2" s="1"/>
  <c r="BP30" i="2" s="1"/>
  <c r="BQ30" i="2" s="1"/>
  <c r="BR30" i="2" s="1"/>
  <c r="BS30" i="2" s="1"/>
  <c r="BT30" i="2" s="1"/>
  <c r="BU30" i="2" s="1"/>
  <c r="BV30" i="2" s="1"/>
  <c r="BW30" i="2" s="1"/>
  <c r="BX30" i="2" s="1"/>
  <c r="BY30" i="2" s="1"/>
  <c r="BZ30" i="2" s="1"/>
  <c r="CA30" i="2" s="1"/>
  <c r="CB30" i="2" s="1"/>
  <c r="CC30" i="2" s="1"/>
  <c r="CD30" i="2" s="1"/>
  <c r="CE30" i="2" s="1"/>
  <c r="CF30" i="2" s="1"/>
  <c r="CG30" i="2" s="1"/>
  <c r="CH30" i="2" s="1"/>
  <c r="CI30" i="2" s="1"/>
  <c r="CJ30" i="2" s="1"/>
  <c r="CK30" i="2" s="1"/>
  <c r="CL30" i="2" s="1"/>
  <c r="CM30" i="2" s="1"/>
  <c r="CN30" i="2" s="1"/>
  <c r="CO30" i="2" s="1"/>
  <c r="CP30" i="2" s="1"/>
  <c r="CQ30" i="2" s="1"/>
  <c r="CR30" i="2" s="1"/>
  <c r="CS30" i="2" s="1"/>
  <c r="CT30" i="2" s="1"/>
  <c r="CU30" i="2" s="1"/>
  <c r="CV30" i="2" s="1"/>
  <c r="CW30" i="2" s="1"/>
  <c r="CX30" i="2" s="1"/>
  <c r="CY30" i="2" s="1"/>
  <c r="CZ30" i="2" s="1"/>
  <c r="DA30" i="2" s="1"/>
  <c r="DB30" i="2" s="1"/>
  <c r="DC30" i="2" s="1"/>
  <c r="DD30" i="2" s="1"/>
  <c r="DE30" i="2" s="1"/>
  <c r="DF30" i="2" s="1"/>
  <c r="DG30" i="2" s="1"/>
  <c r="DH30" i="2" s="1"/>
  <c r="DI30" i="2" s="1"/>
  <c r="DJ30" i="2" s="1"/>
  <c r="DK30" i="2" s="1"/>
  <c r="DL30" i="2" s="1"/>
  <c r="DM30" i="2" s="1"/>
  <c r="S20" i="2"/>
  <c r="G24" i="2"/>
  <c r="G14" i="2"/>
  <c r="G15" i="2" s="1"/>
  <c r="W22" i="2" l="1"/>
  <c r="T20" i="2"/>
  <c r="G16" i="2"/>
  <c r="G32" i="2" s="1"/>
  <c r="H12" i="2" l="1"/>
  <c r="H14" i="2" l="1"/>
  <c r="H15" i="2" s="1"/>
  <c r="H16" i="2" l="1"/>
  <c r="H32" i="2" s="1"/>
  <c r="I12" i="2" l="1"/>
  <c r="I14" i="2" l="1"/>
  <c r="I15" i="2" s="1"/>
  <c r="P12" i="2"/>
  <c r="I16" i="2" l="1"/>
  <c r="I32" i="2" s="1"/>
  <c r="P32" i="2" s="1"/>
  <c r="W23" i="2" l="1"/>
  <c r="Q10" i="2"/>
  <c r="Q11" i="2" s="1"/>
  <c r="P10" i="2"/>
  <c r="P11" i="2"/>
  <c r="P14" i="2" s="1"/>
  <c r="Q24" i="2" l="1"/>
  <c r="Q14" i="2"/>
  <c r="Q15" i="2" s="1"/>
  <c r="P24" i="2"/>
  <c r="P15" i="2"/>
  <c r="P16" i="2" s="1"/>
  <c r="P18" i="2" s="1"/>
  <c r="Q16" i="2"/>
  <c r="R10" i="2" l="1"/>
  <c r="R11" i="2" s="1"/>
  <c r="R24" i="2" s="1"/>
  <c r="Q32" i="2"/>
  <c r="R12" i="2" s="1"/>
  <c r="Q18" i="2"/>
  <c r="S10" i="2" l="1"/>
  <c r="S11" i="2" s="1"/>
  <c r="S24" i="2" s="1"/>
  <c r="T10" i="2"/>
  <c r="T11" i="2" s="1"/>
  <c r="T24" i="2" s="1"/>
  <c r="R14" i="2"/>
  <c r="R15" i="2" l="1"/>
  <c r="R16" i="2" s="1"/>
  <c r="R18" i="2" l="1"/>
  <c r="R32" i="2"/>
  <c r="S12" i="2" s="1"/>
  <c r="S14" i="2" l="1"/>
  <c r="S15" i="2" l="1"/>
  <c r="S16" i="2" s="1"/>
  <c r="S18" i="2" l="1"/>
  <c r="S32" i="2"/>
  <c r="T12" i="2" s="1"/>
  <c r="T14" i="2" l="1"/>
  <c r="T15" i="2" l="1"/>
  <c r="T16" i="2"/>
  <c r="T18" i="2" l="1"/>
  <c r="U16" i="2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T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tc={099A9AF0-E37F-4A1E-9D28-236B95063A8E}</author>
  </authors>
  <commentList>
    <comment ref="B22" authorId="0" shapeId="0" xr:uid="{099A9AF0-E37F-4A1E-9D28-236B95063A8E}">
      <text>
        <t>[Threaded comment]
Your version of Excel allows you to read this threaded comment; however, any edits to it will get removed if the file is opened in a newer version of Excel. Learn more: https://go.microsoft.com/fwlink/?linkid=870924
Comment:
    Outlier due to one time gain on equity investments of 100m</t>
      </text>
    </comment>
  </commentList>
</comments>
</file>

<file path=xl/sharedStrings.xml><?xml version="1.0" encoding="utf-8"?>
<sst xmlns="http://schemas.openxmlformats.org/spreadsheetml/2006/main" count="53" uniqueCount="46">
  <si>
    <t>INCY</t>
  </si>
  <si>
    <t>Price</t>
  </si>
  <si>
    <t>Shares</t>
  </si>
  <si>
    <t>MC</t>
  </si>
  <si>
    <t>Cash</t>
  </si>
  <si>
    <t>Debt</t>
  </si>
  <si>
    <t>EV</t>
  </si>
  <si>
    <t>Product Revenue</t>
  </si>
  <si>
    <t>Product Royalty</t>
  </si>
  <si>
    <t>Revenue</t>
  </si>
  <si>
    <t>Cost of Product</t>
  </si>
  <si>
    <t>R&amp;D</t>
  </si>
  <si>
    <t>SG&amp;A</t>
  </si>
  <si>
    <t>OPEX</t>
  </si>
  <si>
    <t>Interest</t>
  </si>
  <si>
    <t>Pretax Income</t>
  </si>
  <si>
    <t>Tax</t>
  </si>
  <si>
    <t>Net Income</t>
  </si>
  <si>
    <t>EPS</t>
  </si>
  <si>
    <t>Tax Rate</t>
  </si>
  <si>
    <t>CFFO</t>
  </si>
  <si>
    <t>CX</t>
  </si>
  <si>
    <t>FCF</t>
  </si>
  <si>
    <t>Net Cash</t>
  </si>
  <si>
    <t>Q124</t>
  </si>
  <si>
    <t>Q224</t>
  </si>
  <si>
    <t>Q324</t>
  </si>
  <si>
    <t>Q424</t>
  </si>
  <si>
    <t>Q125</t>
  </si>
  <si>
    <t>Q225</t>
  </si>
  <si>
    <t>Q325</t>
  </si>
  <si>
    <t>Q425</t>
  </si>
  <si>
    <t>ROIC</t>
  </si>
  <si>
    <t>Maturity</t>
  </si>
  <si>
    <t>Discount</t>
  </si>
  <si>
    <t>NPV</t>
  </si>
  <si>
    <t>Diff</t>
  </si>
  <si>
    <t>Revenue Growth q/q</t>
  </si>
  <si>
    <t>Revenue Growth y/y</t>
  </si>
  <si>
    <t>Operating Margin</t>
  </si>
  <si>
    <t>Operating Income</t>
  </si>
  <si>
    <t>Equity Investments</t>
  </si>
  <si>
    <t>FCF Margin</t>
  </si>
  <si>
    <t>Jakafi</t>
  </si>
  <si>
    <t>Opzelura</t>
  </si>
  <si>
    <t>OPEX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</si>
</sst>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4" fontId="1" fillId="0" borderId="0" xfId="0" applyNumberFormat="1" applyFont="1"/>
    <xf numFmtId="10" fontId="1" fillId="0" borderId="0" xfId="0" applyNumberFormat="1" applyFont="1"/>
    <xf numFmtId="9" fontId="2" fillId="0" borderId="0" xfId="0" applyNumberFormat="1" applyFont="1"/>
    <xf numFmtId="9" fontId="1" fillId="0" borderId="0" xfId="0" applyNumberFormat="1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19050</xdr:rowOff>
    </xdr:from>
    <xdr:to>
      <xdr:col>6</xdr:col>
      <xdr:colOff>28575</xdr:colOff>
      <xdr:row>40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A9FDE8E-6660-EB54-5223-5A399EBBB78E}"/>
            </a:ext>
          </a:extLst>
        </xdr:cNvPr>
        <xdr:cNvCxnSpPr/>
      </xdr:nvCxnSpPr>
      <xdr:spPr>
        <a:xfrm>
          <a:off x="4171950" y="19050"/>
          <a:ext cx="28575" cy="6600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0</xdr:row>
      <xdr:rowOff>0</xdr:rowOff>
    </xdr:from>
    <xdr:to>
      <xdr:col>15</xdr:col>
      <xdr:colOff>38100</xdr:colOff>
      <xdr:row>40</xdr:row>
      <xdr:rowOff>123825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C0F0D7A-915A-43B4-ACF0-B82C969BCB49}"/>
            </a:ext>
          </a:extLst>
        </xdr:cNvPr>
        <xdr:cNvCxnSpPr/>
      </xdr:nvCxnSpPr>
      <xdr:spPr>
        <a:xfrm>
          <a:off x="9667875" y="0"/>
          <a:ext cx="28575" cy="66008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ender Flores" id="{EDFF5B9C-A26C-42F5-BC42-AC4D451FD426}" userId="S::lrenderflores@mcc.edu::ba971e3f-64ab-4420-998a-55d598ee1c7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2" dT="2025-05-01T17:31:01.70" personId="{EDFF5B9C-A26C-42F5-BC42-AC4D451FD426}" id="{099A9AF0-E37F-4A1E-9D28-236B95063A8E}">
    <text>Outlier due to one time gain on equity investments of 100m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21DA1-10F1-4563-8E6E-7F25228F570D}">
  <dimension ref="A1:E7"/>
  <sheetViews>
    <sheetView zoomScale="295" zoomScaleNormal="295" workbookViewId="0">
      <selection activeCell="E5" sqref="E5"/>
    </sheetView>
  </sheetViews>
  <sheetFormatPr defaultRowHeight="14.25" x14ac:dyDescent="0.2"/>
  <cols>
    <col min="1" max="16384" width="9.140625" style="9"/>
  </cols>
  <sheetData>
    <row r="1" spans="1:5" ht="15" x14ac:dyDescent="0.25">
      <c r="A1" s="8" t="s">
        <v>0</v>
      </c>
    </row>
    <row r="2" spans="1:5" x14ac:dyDescent="0.2">
      <c r="C2" s="9" t="s">
        <v>1</v>
      </c>
      <c r="D2" s="1">
        <v>59</v>
      </c>
    </row>
    <row r="3" spans="1:5" x14ac:dyDescent="0.2">
      <c r="C3" s="9" t="s">
        <v>2</v>
      </c>
      <c r="D3" s="1">
        <v>193.56989999999999</v>
      </c>
      <c r="E3" s="9" t="s">
        <v>28</v>
      </c>
    </row>
    <row r="4" spans="1:5" x14ac:dyDescent="0.2">
      <c r="C4" s="9" t="s">
        <v>3</v>
      </c>
      <c r="D4" s="1">
        <f>D3*D2</f>
        <v>11420.624099999999</v>
      </c>
    </row>
    <row r="5" spans="1:5" x14ac:dyDescent="0.2">
      <c r="C5" s="9" t="s">
        <v>4</v>
      </c>
      <c r="D5" s="1">
        <f>1941.7+466.9</f>
        <v>2408.6</v>
      </c>
      <c r="E5" s="9" t="s">
        <v>28</v>
      </c>
    </row>
    <row r="6" spans="1:5" x14ac:dyDescent="0.2">
      <c r="C6" s="9" t="s">
        <v>5</v>
      </c>
      <c r="D6" s="1">
        <f>175.5+32.6</f>
        <v>208.1</v>
      </c>
      <c r="E6" s="9" t="s">
        <v>28</v>
      </c>
    </row>
    <row r="7" spans="1:5" x14ac:dyDescent="0.2">
      <c r="C7" s="9" t="s">
        <v>6</v>
      </c>
      <c r="D7" s="1">
        <f>D4+D6-D5</f>
        <v>9220.1240999999991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636E9-DAC3-4793-8EF1-617FE08660A1}">
  <dimension ref="A1:DM36"/>
  <sheetViews>
    <sheetView tabSelected="1" workbookViewId="0">
      <pane xSplit="1" ySplit="1" topLeftCell="H4" activePane="bottomRight" state="frozen"/>
      <selection pane="topRight" activeCell="B1" sqref="B1"/>
      <selection pane="bottomLeft" activeCell="A2" sqref="A2"/>
      <selection pane="bottomRight" activeCell="P22" sqref="P22"/>
    </sheetView>
  </sheetViews>
  <sheetFormatPr defaultRowHeight="14.25" x14ac:dyDescent="0.2"/>
  <cols>
    <col min="1" max="1" width="18.85546875" style="1" customWidth="1"/>
    <col min="2" max="21" width="9.140625" style="1"/>
    <col min="22" max="22" width="9.85546875" style="1" bestFit="1" customWidth="1"/>
    <col min="23" max="16384" width="9.140625" style="1"/>
  </cols>
  <sheetData>
    <row r="1" spans="1:114" x14ac:dyDescent="0.2"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K1" s="2">
        <v>2020</v>
      </c>
      <c r="L1" s="2">
        <f>K1+1</f>
        <v>2021</v>
      </c>
      <c r="M1" s="2">
        <f t="shared" ref="M1:T1" si="0">L1+1</f>
        <v>2022</v>
      </c>
      <c r="N1" s="2">
        <f t="shared" si="0"/>
        <v>2023</v>
      </c>
      <c r="O1" s="2">
        <f t="shared" si="0"/>
        <v>2024</v>
      </c>
      <c r="P1" s="2">
        <f t="shared" si="0"/>
        <v>2025</v>
      </c>
      <c r="Q1" s="2">
        <f t="shared" si="0"/>
        <v>2026</v>
      </c>
      <c r="R1" s="2">
        <f t="shared" si="0"/>
        <v>2027</v>
      </c>
      <c r="S1" s="2">
        <f t="shared" si="0"/>
        <v>2028</v>
      </c>
      <c r="T1" s="2">
        <f t="shared" si="0"/>
        <v>2029</v>
      </c>
    </row>
    <row r="2" spans="1:114" x14ac:dyDescent="0.2">
      <c r="A2" s="1" t="s">
        <v>44</v>
      </c>
      <c r="K2" s="2"/>
      <c r="L2" s="2"/>
      <c r="M2" s="2"/>
      <c r="N2" s="2"/>
      <c r="O2" s="2"/>
      <c r="P2" s="1">
        <v>1000</v>
      </c>
      <c r="Q2" s="1">
        <f>P2*1.07</f>
        <v>1070</v>
      </c>
      <c r="R2" s="1">
        <f t="shared" ref="R2:T2" si="1">Q2*1.07</f>
        <v>1144.9000000000001</v>
      </c>
      <c r="S2" s="1">
        <f t="shared" si="1"/>
        <v>1225.0430000000001</v>
      </c>
      <c r="T2" s="1">
        <f t="shared" si="1"/>
        <v>1310.7960100000003</v>
      </c>
    </row>
    <row r="3" spans="1:114" x14ac:dyDescent="0.2">
      <c r="A3" s="1" t="s">
        <v>43</v>
      </c>
      <c r="K3" s="2"/>
      <c r="L3" s="2"/>
      <c r="M3" s="2"/>
      <c r="N3" s="2"/>
      <c r="O3" s="2"/>
      <c r="P3" s="1">
        <v>3000</v>
      </c>
      <c r="Q3" s="1">
        <f>P3*1.09</f>
        <v>3270.0000000000005</v>
      </c>
      <c r="R3" s="1">
        <f t="shared" ref="R3:T3" si="2">Q3*1.09</f>
        <v>3564.3000000000006</v>
      </c>
      <c r="S3" s="1">
        <f t="shared" si="2"/>
        <v>3885.0870000000009</v>
      </c>
      <c r="T3" s="1">
        <f t="shared" si="2"/>
        <v>4234.7448300000015</v>
      </c>
    </row>
    <row r="4" spans="1:114" x14ac:dyDescent="0.2">
      <c r="A4" s="1" t="s">
        <v>7</v>
      </c>
      <c r="B4" s="1">
        <v>729.9</v>
      </c>
      <c r="F4" s="1">
        <v>922.2</v>
      </c>
      <c r="M4" s="1">
        <v>2746.9</v>
      </c>
      <c r="N4" s="1">
        <v>3165.2</v>
      </c>
      <c r="O4" s="1">
        <v>3618.9</v>
      </c>
      <c r="P4" s="1">
        <f>SUM(P2:P3)</f>
        <v>4000</v>
      </c>
      <c r="Q4" s="1">
        <f t="shared" ref="Q4:T4" si="3">SUM(Q2:Q3)</f>
        <v>4340</v>
      </c>
      <c r="R4" s="1">
        <f t="shared" si="3"/>
        <v>4709.2000000000007</v>
      </c>
      <c r="S4" s="1">
        <f t="shared" si="3"/>
        <v>5110.130000000001</v>
      </c>
      <c r="T4" s="1">
        <f t="shared" si="3"/>
        <v>5545.5408400000015</v>
      </c>
    </row>
    <row r="5" spans="1:114" x14ac:dyDescent="0.2">
      <c r="A5" s="1" t="s">
        <v>8</v>
      </c>
      <c r="B5" s="1">
        <v>125.96</v>
      </c>
      <c r="F5" s="1">
        <v>130.6</v>
      </c>
      <c r="M5" s="1">
        <v>482.74</v>
      </c>
      <c r="N5" s="1">
        <v>523.5</v>
      </c>
      <c r="O5" s="1">
        <v>579.33000000000004</v>
      </c>
      <c r="P5" s="1">
        <f>O5*1.09</f>
        <v>631.4697000000001</v>
      </c>
      <c r="Q5" s="1">
        <f t="shared" ref="Q5:T5" si="4">P5*1.09</f>
        <v>688.3019730000002</v>
      </c>
      <c r="R5" s="1">
        <f t="shared" si="4"/>
        <v>750.24915057000032</v>
      </c>
      <c r="S5" s="1">
        <f t="shared" si="4"/>
        <v>817.77157412130043</v>
      </c>
      <c r="T5" s="1">
        <f t="shared" si="4"/>
        <v>891.37101579221758</v>
      </c>
    </row>
    <row r="6" spans="1:114" s="3" customFormat="1" ht="15" x14ac:dyDescent="0.25">
      <c r="A6" s="3" t="s">
        <v>9</v>
      </c>
      <c r="B6" s="3">
        <f>SUM(B4:B5)</f>
        <v>855.86</v>
      </c>
      <c r="C6" s="3">
        <f t="shared" ref="C6:E6" si="5">SUM(C4:C5)</f>
        <v>0</v>
      </c>
      <c r="D6" s="3">
        <f t="shared" si="5"/>
        <v>0</v>
      </c>
      <c r="E6" s="3">
        <f t="shared" si="5"/>
        <v>0</v>
      </c>
      <c r="F6" s="3">
        <f>SUM(F4:F5)</f>
        <v>1052.8</v>
      </c>
      <c r="G6" s="3">
        <f>F6*1.09</f>
        <v>1147.5520000000001</v>
      </c>
      <c r="H6" s="3">
        <f t="shared" ref="H6:I6" si="6">G6*1.09</f>
        <v>1250.8316800000002</v>
      </c>
      <c r="I6" s="3">
        <f t="shared" si="6"/>
        <v>1363.4065312000002</v>
      </c>
      <c r="K6" s="3">
        <f t="shared" ref="K6:L6" si="7">SUM(K4:K5)</f>
        <v>0</v>
      </c>
      <c r="L6" s="3">
        <f t="shared" si="7"/>
        <v>0</v>
      </c>
      <c r="M6" s="3">
        <f t="shared" ref="M6" si="8">SUM(M4:M5)</f>
        <v>3229.6400000000003</v>
      </c>
      <c r="N6" s="3">
        <f t="shared" ref="N6" si="9">SUM(N4:N5)</f>
        <v>3688.7</v>
      </c>
      <c r="O6" s="3">
        <f t="shared" ref="O6" si="10">SUM(O4:O5)</f>
        <v>4198.2300000000005</v>
      </c>
      <c r="P6" s="3">
        <f>SUM(P4:P5)</f>
        <v>4631.4696999999996</v>
      </c>
      <c r="Q6" s="3">
        <f>SUM(Q4:Q5)</f>
        <v>5028.3019730000005</v>
      </c>
      <c r="R6" s="3">
        <f>SUM(R4:R5)</f>
        <v>5459.4491505700007</v>
      </c>
      <c r="S6" s="3">
        <f>SUM(S4:S5)</f>
        <v>5927.9015741213016</v>
      </c>
      <c r="T6" s="3">
        <f>SUM(T4:T5)</f>
        <v>6436.9118557922193</v>
      </c>
    </row>
    <row r="7" spans="1:114" x14ac:dyDescent="0.2">
      <c r="A7" s="1" t="s">
        <v>10</v>
      </c>
      <c r="B7" s="1">
        <v>60.956000000000003</v>
      </c>
      <c r="F7" s="1">
        <v>73.188000000000002</v>
      </c>
      <c r="G7" s="1">
        <f>F7*(1+G21)</f>
        <v>79.774920000000009</v>
      </c>
      <c r="H7" s="1">
        <f t="shared" ref="H7:I7" si="11">G7*(1+H21)</f>
        <v>86.954662800000023</v>
      </c>
      <c r="I7" s="1">
        <f t="shared" si="11"/>
        <v>94.780582452000033</v>
      </c>
      <c r="M7" s="1">
        <v>207</v>
      </c>
      <c r="N7" s="1">
        <v>254.99</v>
      </c>
      <c r="O7" s="1">
        <v>312.10000000000002</v>
      </c>
    </row>
    <row r="8" spans="1:114" x14ac:dyDescent="0.2">
      <c r="A8" s="1" t="s">
        <v>11</v>
      </c>
      <c r="B8" s="1">
        <v>429.26</v>
      </c>
      <c r="F8" s="1">
        <v>437.279</v>
      </c>
      <c r="G8" s="1">
        <f>F8*(1+G21)</f>
        <v>476.63411000000002</v>
      </c>
      <c r="H8" s="1">
        <f t="shared" ref="H8:I8" si="12">G8*(1+H21)</f>
        <v>519.5311799000001</v>
      </c>
      <c r="I8" s="1">
        <f t="shared" si="12"/>
        <v>566.2889860910002</v>
      </c>
      <c r="M8" s="1">
        <v>1575.94</v>
      </c>
      <c r="N8" s="1">
        <v>1627.6</v>
      </c>
      <c r="O8" s="1">
        <v>2606.9</v>
      </c>
    </row>
    <row r="9" spans="1:114" x14ac:dyDescent="0.2">
      <c r="A9" s="1" t="s">
        <v>12</v>
      </c>
      <c r="B9" s="1">
        <v>300.25599999999997</v>
      </c>
      <c r="F9" s="1">
        <v>325.69099999999997</v>
      </c>
      <c r="G9" s="1">
        <f>F9*(1+G21)</f>
        <v>355.00319000000002</v>
      </c>
      <c r="H9" s="1">
        <f t="shared" ref="H9:I9" si="13">G9*(1+H21)</f>
        <v>386.95347710000004</v>
      </c>
      <c r="I9" s="1">
        <f t="shared" si="13"/>
        <v>421.7792900390001</v>
      </c>
      <c r="M9" s="1">
        <v>1002.2</v>
      </c>
      <c r="N9" s="1">
        <v>1161.3</v>
      </c>
      <c r="O9" s="1">
        <v>1242.2</v>
      </c>
    </row>
    <row r="10" spans="1:114" x14ac:dyDescent="0.2">
      <c r="A10" s="1" t="s">
        <v>13</v>
      </c>
      <c r="B10" s="1">
        <f>SUM(B7:B9)</f>
        <v>790.47199999999998</v>
      </c>
      <c r="C10" s="1">
        <f t="shared" ref="C10:I10" si="14">SUM(C7:C9)</f>
        <v>0</v>
      </c>
      <c r="D10" s="1">
        <f t="shared" si="14"/>
        <v>0</v>
      </c>
      <c r="E10" s="1">
        <f t="shared" si="14"/>
        <v>0</v>
      </c>
      <c r="F10" s="1">
        <f t="shared" si="14"/>
        <v>836.1579999999999</v>
      </c>
      <c r="G10" s="1">
        <f t="shared" si="14"/>
        <v>911.41222000000005</v>
      </c>
      <c r="H10" s="1">
        <f t="shared" si="14"/>
        <v>993.43931980000025</v>
      </c>
      <c r="I10" s="1">
        <f t="shared" si="14"/>
        <v>1082.8488585820005</v>
      </c>
      <c r="K10" s="1">
        <f t="shared" ref="K10:L10" si="15">SUM(K7:K9)</f>
        <v>0</v>
      </c>
      <c r="L10" s="1">
        <f t="shared" si="15"/>
        <v>0</v>
      </c>
      <c r="M10" s="1">
        <f t="shared" ref="M10" si="16">SUM(M7:M9)</f>
        <v>2785.1400000000003</v>
      </c>
      <c r="N10" s="1">
        <f t="shared" ref="N10" si="17">SUM(N7:N9)</f>
        <v>3043.89</v>
      </c>
      <c r="O10" s="1">
        <f t="shared" ref="O10" si="18">SUM(O7:O9)</f>
        <v>4161.2</v>
      </c>
      <c r="P10" s="1">
        <f>P6*P26</f>
        <v>4168.3227299999999</v>
      </c>
      <c r="Q10" s="1">
        <f>Q6*Q26</f>
        <v>4072.9245981300005</v>
      </c>
      <c r="R10" s="1">
        <f t="shared" ref="R10:T10" si="19">R6*R26</f>
        <v>3979.9384307655309</v>
      </c>
      <c r="S10" s="1">
        <f t="shared" si="19"/>
        <v>3889.2962227809867</v>
      </c>
      <c r="T10" s="1">
        <f t="shared" si="19"/>
        <v>3800.9320817267489</v>
      </c>
    </row>
    <row r="11" spans="1:114" x14ac:dyDescent="0.2">
      <c r="A11" s="1" t="s">
        <v>40</v>
      </c>
      <c r="B11" s="1">
        <f>B6-B10</f>
        <v>65.388000000000034</v>
      </c>
      <c r="C11" s="1">
        <f t="shared" ref="C11:I11" si="20">C6-C10</f>
        <v>0</v>
      </c>
      <c r="D11" s="1">
        <f t="shared" si="20"/>
        <v>0</v>
      </c>
      <c r="E11" s="1">
        <f t="shared" si="20"/>
        <v>0</v>
      </c>
      <c r="F11" s="1">
        <f t="shared" si="20"/>
        <v>216.64200000000005</v>
      </c>
      <c r="G11" s="1">
        <f t="shared" si="20"/>
        <v>236.13978000000009</v>
      </c>
      <c r="H11" s="1">
        <f t="shared" si="20"/>
        <v>257.39236019999998</v>
      </c>
      <c r="I11" s="1">
        <f t="shared" si="20"/>
        <v>280.55767261799974</v>
      </c>
      <c r="K11" s="1">
        <f t="shared" ref="K11:L11" si="21">K6-K10</f>
        <v>0</v>
      </c>
      <c r="L11" s="1">
        <f t="shared" si="21"/>
        <v>0</v>
      </c>
      <c r="M11" s="1">
        <f t="shared" ref="M11" si="22">M6-M10</f>
        <v>444.5</v>
      </c>
      <c r="N11" s="1">
        <f t="shared" ref="N11" si="23">N6-N10</f>
        <v>644.80999999999995</v>
      </c>
      <c r="O11" s="1">
        <f t="shared" ref="O11" si="24">O6-O10</f>
        <v>37.030000000000655</v>
      </c>
      <c r="P11" s="1">
        <f t="shared" ref="P11:T11" si="25">P6-P10</f>
        <v>463.14696999999978</v>
      </c>
      <c r="Q11" s="1">
        <f t="shared" si="25"/>
        <v>955.37737487000004</v>
      </c>
      <c r="R11" s="1">
        <f t="shared" si="25"/>
        <v>1479.5107198044698</v>
      </c>
      <c r="S11" s="1">
        <f t="shared" si="25"/>
        <v>2038.6053513403149</v>
      </c>
      <c r="T11" s="1">
        <f t="shared" si="25"/>
        <v>2635.9797740654703</v>
      </c>
    </row>
    <row r="12" spans="1:114" x14ac:dyDescent="0.2">
      <c r="A12" s="1" t="s">
        <v>14</v>
      </c>
      <c r="B12" s="1">
        <f>22.93-0.66</f>
        <v>22.27</v>
      </c>
      <c r="F12" s="1">
        <f>46.77-2.03</f>
        <v>44.74</v>
      </c>
      <c r="G12" s="1">
        <f>F32*$W$18/4</f>
        <v>33.0075</v>
      </c>
      <c r="H12" s="1">
        <f>G32*$W$18/4</f>
        <v>36.196895267999999</v>
      </c>
      <c r="I12" s="1">
        <f>H32*$W$18/4</f>
        <v>39.675927945295797</v>
      </c>
      <c r="M12" s="1">
        <f>40.45-2.66</f>
        <v>37.790000000000006</v>
      </c>
      <c r="N12" s="1">
        <f>158.4-2.55</f>
        <v>155.85</v>
      </c>
      <c r="O12" s="1">
        <f>128.7-2.3</f>
        <v>126.39999999999999</v>
      </c>
      <c r="P12" s="1">
        <f>SUM(F12:I12)</f>
        <v>153.62032321329579</v>
      </c>
      <c r="Q12" s="1">
        <f>P32*$W$18</f>
        <v>173.88278444788341</v>
      </c>
      <c r="R12" s="1">
        <f t="shared" ref="R12:T12" si="26">Q32*$W$18</f>
        <v>228.76482819073254</v>
      </c>
      <c r="S12" s="1">
        <f t="shared" si="26"/>
        <v>311.78701982329937</v>
      </c>
      <c r="T12" s="1">
        <f t="shared" si="26"/>
        <v>426.01608906185101</v>
      </c>
    </row>
    <row r="13" spans="1:114" x14ac:dyDescent="0.2">
      <c r="A13" s="1" t="s">
        <v>41</v>
      </c>
      <c r="O13" s="1">
        <v>116</v>
      </c>
    </row>
    <row r="14" spans="1:114" x14ac:dyDescent="0.2">
      <c r="A14" s="1" t="s">
        <v>15</v>
      </c>
      <c r="B14" s="1">
        <f>SUM(B11:B13)</f>
        <v>87.65800000000003</v>
      </c>
      <c r="C14" s="1">
        <f t="shared" ref="C14:I14" si="27">SUM(C11:C13)</f>
        <v>0</v>
      </c>
      <c r="D14" s="1">
        <f t="shared" si="27"/>
        <v>0</v>
      </c>
      <c r="E14" s="1">
        <f t="shared" si="27"/>
        <v>0</v>
      </c>
      <c r="F14" s="1">
        <f t="shared" si="27"/>
        <v>261.38200000000006</v>
      </c>
      <c r="G14" s="1">
        <f t="shared" si="27"/>
        <v>269.14728000000008</v>
      </c>
      <c r="H14" s="1">
        <f t="shared" si="27"/>
        <v>293.58925546799998</v>
      </c>
      <c r="I14" s="1">
        <f t="shared" si="27"/>
        <v>320.23360056329557</v>
      </c>
      <c r="K14" s="1">
        <f>SUM(K11:K13)</f>
        <v>0</v>
      </c>
      <c r="L14" s="1">
        <f>SUM(L11:L13)</f>
        <v>0</v>
      </c>
      <c r="M14" s="1">
        <f t="shared" ref="M14:T14" si="28">SUM(M11:M13)</f>
        <v>482.29</v>
      </c>
      <c r="N14" s="1">
        <f t="shared" si="28"/>
        <v>800.66</v>
      </c>
      <c r="O14" s="1">
        <f t="shared" si="28"/>
        <v>279.43000000000063</v>
      </c>
      <c r="P14" s="1">
        <f t="shared" si="28"/>
        <v>616.7672932132956</v>
      </c>
      <c r="Q14" s="1">
        <f t="shared" si="28"/>
        <v>1129.2601593178833</v>
      </c>
      <c r="R14" s="1">
        <f t="shared" si="28"/>
        <v>1708.2755479952023</v>
      </c>
      <c r="S14" s="1">
        <f t="shared" si="28"/>
        <v>2350.3923711636144</v>
      </c>
      <c r="T14" s="1">
        <f t="shared" si="28"/>
        <v>3061.9958631273212</v>
      </c>
    </row>
    <row r="15" spans="1:114" x14ac:dyDescent="0.2">
      <c r="A15" s="1" t="s">
        <v>16</v>
      </c>
      <c r="B15" s="1">
        <v>66.611000000000004</v>
      </c>
      <c r="F15" s="1">
        <v>75.989999999999995</v>
      </c>
      <c r="G15" s="1">
        <f>G14*G22</f>
        <v>56.520928800000014</v>
      </c>
      <c r="H15" s="1">
        <f t="shared" ref="H15:I15" si="29">H14*H22</f>
        <v>61.653743648279992</v>
      </c>
      <c r="I15" s="1">
        <f t="shared" si="29"/>
        <v>67.24905611829206</v>
      </c>
      <c r="M15" s="1">
        <v>188.45</v>
      </c>
      <c r="N15" s="1">
        <v>236.6</v>
      </c>
      <c r="O15" s="1">
        <v>284.02</v>
      </c>
      <c r="P15" s="1">
        <f>P14*P22</f>
        <v>117.18578571052616</v>
      </c>
      <c r="Q15" s="1">
        <f t="shared" ref="Q15:T15" si="30">Q14*Q22</f>
        <v>214.55943027039783</v>
      </c>
      <c r="R15" s="1">
        <f t="shared" si="30"/>
        <v>324.57235411908846</v>
      </c>
      <c r="S15" s="1">
        <f t="shared" si="30"/>
        <v>446.57455052108673</v>
      </c>
      <c r="T15" s="1">
        <f t="shared" si="30"/>
        <v>581.77921399419108</v>
      </c>
    </row>
    <row r="16" spans="1:114" s="3" customFormat="1" ht="15" x14ac:dyDescent="0.25">
      <c r="A16" s="3" t="s">
        <v>17</v>
      </c>
      <c r="B16" s="3">
        <f>B14-B15</f>
        <v>21.047000000000025</v>
      </c>
      <c r="C16" s="3">
        <f t="shared" ref="C16:I16" si="31">C14-C15</f>
        <v>0</v>
      </c>
      <c r="D16" s="3">
        <f t="shared" si="31"/>
        <v>0</v>
      </c>
      <c r="E16" s="3">
        <f t="shared" si="31"/>
        <v>0</v>
      </c>
      <c r="F16" s="3">
        <f t="shared" si="31"/>
        <v>185.39200000000005</v>
      </c>
      <c r="G16" s="3">
        <f t="shared" si="31"/>
        <v>212.62635120000007</v>
      </c>
      <c r="H16" s="3">
        <f t="shared" si="31"/>
        <v>231.93551181971998</v>
      </c>
      <c r="I16" s="3">
        <f t="shared" si="31"/>
        <v>252.98454444500351</v>
      </c>
      <c r="K16" s="3">
        <f t="shared" ref="K16:L16" si="32">K14-K15</f>
        <v>0</v>
      </c>
      <c r="L16" s="3">
        <f t="shared" si="32"/>
        <v>0</v>
      </c>
      <c r="M16" s="3">
        <f t="shared" ref="M16" si="33">M14-M15</f>
        <v>293.84000000000003</v>
      </c>
      <c r="N16" s="3">
        <f t="shared" ref="N16" si="34">N14-N15</f>
        <v>564.05999999999995</v>
      </c>
      <c r="O16" s="3">
        <f t="shared" ref="O16" si="35">O14-O15</f>
        <v>-4.5899999999993497</v>
      </c>
      <c r="P16" s="3">
        <f t="shared" ref="P16:Q16" si="36">P14-P15</f>
        <v>499.58150750276945</v>
      </c>
      <c r="Q16" s="3">
        <f t="shared" si="36"/>
        <v>914.70072904748554</v>
      </c>
      <c r="R16" s="3">
        <f t="shared" ref="R16" si="37">R14-R15</f>
        <v>1383.7031938761138</v>
      </c>
      <c r="S16" s="3">
        <f t="shared" ref="S16" si="38">S14-S15</f>
        <v>1903.8178206425277</v>
      </c>
      <c r="T16" s="3">
        <f t="shared" ref="T16" si="39">T14-T15</f>
        <v>2480.21664913313</v>
      </c>
      <c r="U16" s="3">
        <f>T16*(1+$W$19)</f>
        <v>2356.2058166764732</v>
      </c>
      <c r="V16" s="3">
        <f t="shared" ref="V16:CG16" si="40">U16*(1+$W$19)</f>
        <v>2238.3955258426495</v>
      </c>
      <c r="W16" s="3">
        <f t="shared" si="40"/>
        <v>2126.4757495505169</v>
      </c>
      <c r="X16" s="3">
        <f t="shared" si="40"/>
        <v>2020.151962072991</v>
      </c>
      <c r="Y16" s="3">
        <f t="shared" si="40"/>
        <v>1919.1443639693414</v>
      </c>
      <c r="Z16" s="3">
        <f t="shared" si="40"/>
        <v>1823.1871457708742</v>
      </c>
      <c r="AA16" s="3">
        <f t="shared" si="40"/>
        <v>1732.0277884823304</v>
      </c>
      <c r="AB16" s="3">
        <f t="shared" si="40"/>
        <v>1645.4263990582137</v>
      </c>
      <c r="AC16" s="3">
        <f t="shared" si="40"/>
        <v>1563.155079105303</v>
      </c>
      <c r="AD16" s="3">
        <f t="shared" si="40"/>
        <v>1484.9973251500378</v>
      </c>
      <c r="AE16" s="3">
        <f t="shared" si="40"/>
        <v>1410.7474588925359</v>
      </c>
      <c r="AF16" s="3">
        <f t="shared" si="40"/>
        <v>1340.210085947909</v>
      </c>
      <c r="AG16" s="3">
        <f t="shared" si="40"/>
        <v>1273.1995816505134</v>
      </c>
      <c r="AH16" s="3">
        <f t="shared" si="40"/>
        <v>1209.5396025679877</v>
      </c>
      <c r="AI16" s="3">
        <f t="shared" si="40"/>
        <v>1149.0626224395883</v>
      </c>
      <c r="AJ16" s="3">
        <f t="shared" si="40"/>
        <v>1091.6094913176089</v>
      </c>
      <c r="AK16" s="3">
        <f t="shared" si="40"/>
        <v>1037.0290167517285</v>
      </c>
      <c r="AL16" s="3">
        <f t="shared" si="40"/>
        <v>985.17756591414195</v>
      </c>
      <c r="AM16" s="3">
        <f t="shared" si="40"/>
        <v>935.91868761843477</v>
      </c>
      <c r="AN16" s="3">
        <f t="shared" si="40"/>
        <v>889.12275323751294</v>
      </c>
      <c r="AO16" s="3">
        <f t="shared" si="40"/>
        <v>844.66661557563725</v>
      </c>
      <c r="AP16" s="3">
        <f t="shared" si="40"/>
        <v>802.43328479685533</v>
      </c>
      <c r="AQ16" s="3">
        <f t="shared" si="40"/>
        <v>762.31162055701247</v>
      </c>
      <c r="AR16" s="3">
        <f t="shared" si="40"/>
        <v>724.19603952916179</v>
      </c>
      <c r="AS16" s="3">
        <f t="shared" si="40"/>
        <v>687.98623755270364</v>
      </c>
      <c r="AT16" s="3">
        <f t="shared" si="40"/>
        <v>653.58692567506841</v>
      </c>
      <c r="AU16" s="3">
        <f t="shared" si="40"/>
        <v>620.90757939131493</v>
      </c>
      <c r="AV16" s="3">
        <f t="shared" si="40"/>
        <v>589.86220042174921</v>
      </c>
      <c r="AW16" s="3">
        <f t="shared" si="40"/>
        <v>560.36909040066178</v>
      </c>
      <c r="AX16" s="3">
        <f t="shared" si="40"/>
        <v>532.35063588062872</v>
      </c>
      <c r="AY16" s="3">
        <f t="shared" si="40"/>
        <v>505.73310408659728</v>
      </c>
      <c r="AZ16" s="3">
        <f t="shared" si="40"/>
        <v>480.44644888226742</v>
      </c>
      <c r="BA16" s="3">
        <f t="shared" si="40"/>
        <v>456.42412643815402</v>
      </c>
      <c r="BB16" s="3">
        <f t="shared" si="40"/>
        <v>433.60292011624631</v>
      </c>
      <c r="BC16" s="3">
        <f t="shared" si="40"/>
        <v>411.92277411043398</v>
      </c>
      <c r="BD16" s="3">
        <f t="shared" si="40"/>
        <v>391.32663540491228</v>
      </c>
      <c r="BE16" s="3">
        <f t="shared" si="40"/>
        <v>371.76030363466663</v>
      </c>
      <c r="BF16" s="3">
        <f t="shared" si="40"/>
        <v>353.17228845293329</v>
      </c>
      <c r="BG16" s="3">
        <f t="shared" si="40"/>
        <v>335.51367403028661</v>
      </c>
      <c r="BH16" s="3">
        <f t="shared" si="40"/>
        <v>318.73799032877224</v>
      </c>
      <c r="BI16" s="3">
        <f t="shared" si="40"/>
        <v>302.8010908123336</v>
      </c>
      <c r="BJ16" s="3">
        <f t="shared" si="40"/>
        <v>287.66103627171691</v>
      </c>
      <c r="BK16" s="3">
        <f t="shared" si="40"/>
        <v>273.27798445813107</v>
      </c>
      <c r="BL16" s="3">
        <f t="shared" si="40"/>
        <v>259.61408523522448</v>
      </c>
      <c r="BM16" s="3">
        <f t="shared" si="40"/>
        <v>246.63338097346323</v>
      </c>
      <c r="BN16" s="3">
        <f t="shared" si="40"/>
        <v>234.30171192479006</v>
      </c>
      <c r="BO16" s="3">
        <f t="shared" si="40"/>
        <v>222.58662632855055</v>
      </c>
      <c r="BP16" s="3">
        <f t="shared" si="40"/>
        <v>211.45729501212301</v>
      </c>
      <c r="BQ16" s="3">
        <f t="shared" si="40"/>
        <v>200.88443026151685</v>
      </c>
      <c r="BR16" s="3">
        <f t="shared" si="40"/>
        <v>190.840208748441</v>
      </c>
      <c r="BS16" s="3">
        <f t="shared" si="40"/>
        <v>181.29819831101895</v>
      </c>
      <c r="BT16" s="3">
        <f t="shared" si="40"/>
        <v>172.23328839546801</v>
      </c>
      <c r="BU16" s="3">
        <f t="shared" si="40"/>
        <v>163.6216239756946</v>
      </c>
      <c r="BV16" s="3">
        <f t="shared" si="40"/>
        <v>155.44054277690987</v>
      </c>
      <c r="BW16" s="3">
        <f t="shared" si="40"/>
        <v>147.66851563806438</v>
      </c>
      <c r="BX16" s="3">
        <f t="shared" si="40"/>
        <v>140.28508985616116</v>
      </c>
      <c r="BY16" s="3">
        <f t="shared" si="40"/>
        <v>133.27083536335309</v>
      </c>
      <c r="BZ16" s="3">
        <f t="shared" si="40"/>
        <v>126.60729359518542</v>
      </c>
      <c r="CA16" s="3">
        <f t="shared" si="40"/>
        <v>120.27692891542615</v>
      </c>
      <c r="CB16" s="3">
        <f t="shared" si="40"/>
        <v>114.26308246965485</v>
      </c>
      <c r="CC16" s="3">
        <f t="shared" si="40"/>
        <v>108.54992834617209</v>
      </c>
      <c r="CD16" s="3">
        <f t="shared" si="40"/>
        <v>103.12243192886349</v>
      </c>
      <c r="CE16" s="3">
        <f t="shared" si="40"/>
        <v>97.966310332420306</v>
      </c>
      <c r="CF16" s="3">
        <f t="shared" si="40"/>
        <v>93.067994815799281</v>
      </c>
      <c r="CG16" s="3">
        <f t="shared" si="40"/>
        <v>88.414595075009316</v>
      </c>
      <c r="CH16" s="3">
        <f t="shared" ref="CH16:DJ16" si="41">CG16*(1+$W$19)</f>
        <v>83.993865321258852</v>
      </c>
      <c r="CI16" s="3">
        <f t="shared" si="41"/>
        <v>79.794172055195901</v>
      </c>
      <c r="CJ16" s="3">
        <f t="shared" si="41"/>
        <v>75.804463452436096</v>
      </c>
      <c r="CK16" s="3">
        <f t="shared" si="41"/>
        <v>72.014240279814288</v>
      </c>
      <c r="CL16" s="3">
        <f t="shared" si="41"/>
        <v>68.413528265823572</v>
      </c>
      <c r="CM16" s="3">
        <f t="shared" si="41"/>
        <v>64.992851852532397</v>
      </c>
      <c r="CN16" s="3">
        <f t="shared" si="41"/>
        <v>61.743209259905775</v>
      </c>
      <c r="CO16" s="3">
        <f t="shared" si="41"/>
        <v>58.656048796910483</v>
      </c>
      <c r="CP16" s="3">
        <f t="shared" si="41"/>
        <v>55.723246357064959</v>
      </c>
      <c r="CQ16" s="3">
        <f t="shared" si="41"/>
        <v>52.937084039211712</v>
      </c>
      <c r="CR16" s="3">
        <f t="shared" si="41"/>
        <v>50.290229837251125</v>
      </c>
      <c r="CS16" s="3">
        <f t="shared" si="41"/>
        <v>47.775718345388569</v>
      </c>
      <c r="CT16" s="3">
        <f t="shared" si="41"/>
        <v>45.386932428119138</v>
      </c>
      <c r="CU16" s="3">
        <f t="shared" si="41"/>
        <v>43.11758580671318</v>
      </c>
      <c r="CV16" s="3">
        <f t="shared" si="41"/>
        <v>40.961706516377518</v>
      </c>
      <c r="CW16" s="3">
        <f t="shared" si="41"/>
        <v>38.913621190558644</v>
      </c>
      <c r="CX16" s="3">
        <f t="shared" si="41"/>
        <v>36.967940131030709</v>
      </c>
      <c r="CY16" s="3">
        <f t="shared" si="41"/>
        <v>35.119543124479172</v>
      </c>
      <c r="CZ16" s="3">
        <f t="shared" si="41"/>
        <v>33.363565968255209</v>
      </c>
      <c r="DA16" s="3">
        <f t="shared" si="41"/>
        <v>31.695387669842447</v>
      </c>
      <c r="DB16" s="3">
        <f t="shared" si="41"/>
        <v>30.110618286350324</v>
      </c>
      <c r="DC16" s="3">
        <f t="shared" si="41"/>
        <v>28.605087372032806</v>
      </c>
      <c r="DD16" s="3">
        <f t="shared" si="41"/>
        <v>27.174833003431164</v>
      </c>
      <c r="DE16" s="3">
        <f t="shared" si="41"/>
        <v>25.816091353259605</v>
      </c>
      <c r="DF16" s="3">
        <f t="shared" si="41"/>
        <v>24.525286785596624</v>
      </c>
      <c r="DG16" s="3">
        <f t="shared" si="41"/>
        <v>23.299022446316791</v>
      </c>
      <c r="DH16" s="3">
        <f t="shared" si="41"/>
        <v>22.134071324000949</v>
      </c>
      <c r="DI16" s="3">
        <f t="shared" si="41"/>
        <v>21.027367757800899</v>
      </c>
      <c r="DJ16" s="3">
        <f t="shared" si="41"/>
        <v>19.975999369910852</v>
      </c>
    </row>
    <row r="17" spans="1:117" x14ac:dyDescent="0.2">
      <c r="A17" s="1" t="s">
        <v>2</v>
      </c>
      <c r="M17" s="1">
        <v>224</v>
      </c>
      <c r="N17" s="1">
        <v>226</v>
      </c>
      <c r="O17" s="1">
        <v>210.5</v>
      </c>
      <c r="P17" s="1">
        <v>210.5</v>
      </c>
      <c r="Q17" s="1">
        <v>210.5</v>
      </c>
      <c r="R17" s="1">
        <v>210.5</v>
      </c>
      <c r="S17" s="1">
        <v>210.5</v>
      </c>
      <c r="T17" s="1">
        <v>210.5</v>
      </c>
    </row>
    <row r="18" spans="1:117" x14ac:dyDescent="0.2">
      <c r="A18" s="1" t="s">
        <v>18</v>
      </c>
      <c r="K18" s="4" t="e">
        <f>K16/K17</f>
        <v>#DIV/0!</v>
      </c>
      <c r="L18" s="4" t="e">
        <f t="shared" ref="L18:T18" si="42">L16/L17</f>
        <v>#DIV/0!</v>
      </c>
      <c r="M18" s="4">
        <f t="shared" si="42"/>
        <v>1.3117857142857143</v>
      </c>
      <c r="N18" s="4">
        <f t="shared" si="42"/>
        <v>2.4958407079646014</v>
      </c>
      <c r="O18" s="4">
        <f t="shared" si="42"/>
        <v>-2.1805225653203562E-2</v>
      </c>
      <c r="P18" s="4">
        <f t="shared" si="42"/>
        <v>2.3733088242411853</v>
      </c>
      <c r="Q18" s="4">
        <f t="shared" si="42"/>
        <v>4.3453716344298599</v>
      </c>
      <c r="R18" s="4">
        <f t="shared" si="42"/>
        <v>6.5734118473924648</v>
      </c>
      <c r="S18" s="4">
        <f t="shared" si="42"/>
        <v>9.0442651811996573</v>
      </c>
      <c r="T18" s="4">
        <f t="shared" si="42"/>
        <v>11.782501896119383</v>
      </c>
      <c r="V18" s="1" t="s">
        <v>32</v>
      </c>
      <c r="W18" s="5">
        <v>0.06</v>
      </c>
    </row>
    <row r="19" spans="1:117" x14ac:dyDescent="0.2">
      <c r="V19" s="1" t="s">
        <v>33</v>
      </c>
      <c r="W19" s="5">
        <v>-0.05</v>
      </c>
    </row>
    <row r="20" spans="1:117" s="3" customFormat="1" ht="15" x14ac:dyDescent="0.25">
      <c r="A20" s="3" t="s">
        <v>38</v>
      </c>
      <c r="F20" s="6">
        <f>F6/B6-1</f>
        <v>0.2301077278994228</v>
      </c>
      <c r="G20" s="6" t="e">
        <f>G6/C6-1</f>
        <v>#DIV/0!</v>
      </c>
      <c r="H20" s="6" t="e">
        <f>H6/D6-1</f>
        <v>#DIV/0!</v>
      </c>
      <c r="I20" s="6" t="e">
        <f>I6/E6-1</f>
        <v>#DIV/0!</v>
      </c>
      <c r="K20" s="6" t="e">
        <f t="shared" ref="K20:T20" si="43">K6/J6-1</f>
        <v>#DIV/0!</v>
      </c>
      <c r="L20" s="6" t="e">
        <f t="shared" si="43"/>
        <v>#DIV/0!</v>
      </c>
      <c r="M20" s="6" t="e">
        <f t="shared" si="43"/>
        <v>#DIV/0!</v>
      </c>
      <c r="N20" s="6">
        <f t="shared" si="43"/>
        <v>0.14213968120285836</v>
      </c>
      <c r="O20" s="6">
        <f t="shared" si="43"/>
        <v>0.13813267546832231</v>
      </c>
      <c r="P20" s="6">
        <f t="shared" si="43"/>
        <v>0.10319579918203603</v>
      </c>
      <c r="Q20" s="6">
        <f t="shared" si="43"/>
        <v>8.5681716324302215E-2</v>
      </c>
      <c r="R20" s="6">
        <f t="shared" si="43"/>
        <v>8.574409012925055E-2</v>
      </c>
      <c r="S20" s="6">
        <f t="shared" si="43"/>
        <v>8.5805803961447547E-2</v>
      </c>
      <c r="T20" s="6">
        <f t="shared" si="43"/>
        <v>8.5866857825885656E-2</v>
      </c>
      <c r="V20" s="1" t="s">
        <v>34</v>
      </c>
      <c r="W20" s="5">
        <v>0.09</v>
      </c>
    </row>
    <row r="21" spans="1:117" s="3" customFormat="1" ht="15" x14ac:dyDescent="0.25">
      <c r="A21" s="3" t="s">
        <v>37</v>
      </c>
      <c r="C21" s="6">
        <f>C6/B6-1</f>
        <v>-1</v>
      </c>
      <c r="D21" s="6" t="e">
        <f>D6/C6-1</f>
        <v>#DIV/0!</v>
      </c>
      <c r="E21" s="6" t="e">
        <f>E6/D6-1</f>
        <v>#DIV/0!</v>
      </c>
      <c r="F21" s="6" t="e">
        <f>F6/E6-1</f>
        <v>#DIV/0!</v>
      </c>
      <c r="G21" s="6">
        <f t="shared" ref="G21:I21" si="44">G6/F6-1</f>
        <v>9.000000000000008E-2</v>
      </c>
      <c r="H21" s="6">
        <f t="shared" si="44"/>
        <v>9.000000000000008E-2</v>
      </c>
      <c r="I21" s="6">
        <f t="shared" si="44"/>
        <v>9.000000000000008E-2</v>
      </c>
      <c r="K21" s="6"/>
      <c r="L21" s="6"/>
      <c r="M21" s="6"/>
      <c r="N21" s="6"/>
      <c r="O21" s="6"/>
      <c r="P21" s="6"/>
      <c r="Q21" s="6"/>
      <c r="R21" s="6"/>
      <c r="S21" s="6"/>
      <c r="T21" s="6"/>
      <c r="V21" s="3" t="s">
        <v>35</v>
      </c>
      <c r="W21" s="3">
        <f>NPV(W20,P30:XFD30)+Sheet1!D5-Sheet1!D6</f>
        <v>15729.912161838864</v>
      </c>
    </row>
    <row r="22" spans="1:117" x14ac:dyDescent="0.2">
      <c r="A22" s="1" t="s">
        <v>19</v>
      </c>
      <c r="B22" s="7">
        <f>B15/B14</f>
        <v>0.75989641561523169</v>
      </c>
      <c r="C22" s="7" t="e">
        <f>C15/C14</f>
        <v>#DIV/0!</v>
      </c>
      <c r="D22" s="7" t="e">
        <f>D15/D14</f>
        <v>#DIV/0!</v>
      </c>
      <c r="E22" s="7" t="e">
        <f>E15/E14</f>
        <v>#DIV/0!</v>
      </c>
      <c r="F22" s="7">
        <f>F15/F14</f>
        <v>0.29072392131057218</v>
      </c>
      <c r="G22" s="7">
        <v>0.21</v>
      </c>
      <c r="H22" s="7">
        <v>0.21</v>
      </c>
      <c r="I22" s="7">
        <v>0.21</v>
      </c>
      <c r="K22" s="7" t="e">
        <f>K15/K14</f>
        <v>#DIV/0!</v>
      </c>
      <c r="L22" s="7" t="e">
        <f t="shared" ref="L22:O22" si="45">L15/L14</f>
        <v>#DIV/0!</v>
      </c>
      <c r="M22" s="7">
        <f t="shared" si="45"/>
        <v>0.39074001119658291</v>
      </c>
      <c r="N22" s="7">
        <f t="shared" si="45"/>
        <v>0.29550620737891242</v>
      </c>
      <c r="O22" s="7">
        <f t="shared" si="45"/>
        <v>1.0164262963890753</v>
      </c>
      <c r="P22" s="7">
        <v>0.19</v>
      </c>
      <c r="Q22" s="7">
        <v>0.19</v>
      </c>
      <c r="R22" s="7">
        <v>0.19</v>
      </c>
      <c r="S22" s="7">
        <v>0.19</v>
      </c>
      <c r="T22" s="7">
        <v>0.19</v>
      </c>
      <c r="V22" s="1" t="s">
        <v>1</v>
      </c>
      <c r="W22" s="1">
        <f>W21/Sheet1!D3</f>
        <v>81.262180544799918</v>
      </c>
    </row>
    <row r="23" spans="1:117" x14ac:dyDescent="0.2">
      <c r="V23" s="1" t="s">
        <v>36</v>
      </c>
      <c r="W23" s="7">
        <f>W22/Sheet1!D2-1</f>
        <v>0.37732509397965952</v>
      </c>
    </row>
    <row r="24" spans="1:117" x14ac:dyDescent="0.2">
      <c r="A24" s="1" t="s">
        <v>39</v>
      </c>
      <c r="B24" s="7">
        <f>B11/B6</f>
        <v>7.6400345850956966E-2</v>
      </c>
      <c r="C24" s="7" t="e">
        <f t="shared" ref="C24:I24" si="46">C11/C6</f>
        <v>#DIV/0!</v>
      </c>
      <c r="D24" s="7" t="e">
        <f t="shared" si="46"/>
        <v>#DIV/0!</v>
      </c>
      <c r="E24" s="7" t="e">
        <f t="shared" si="46"/>
        <v>#DIV/0!</v>
      </c>
      <c r="F24" s="7">
        <f t="shared" si="46"/>
        <v>0.20577697568389064</v>
      </c>
      <c r="G24" s="7">
        <f t="shared" si="46"/>
        <v>0.20577697568389064</v>
      </c>
      <c r="H24" s="7">
        <f t="shared" si="46"/>
        <v>0.20577697568389053</v>
      </c>
      <c r="I24" s="7">
        <f t="shared" si="46"/>
        <v>0.20577697568389036</v>
      </c>
      <c r="K24" s="7" t="e">
        <f t="shared" ref="K24:T24" si="47">K11/K6</f>
        <v>#DIV/0!</v>
      </c>
      <c r="L24" s="7" t="e">
        <f t="shared" si="47"/>
        <v>#DIV/0!</v>
      </c>
      <c r="M24" s="7">
        <f t="shared" si="47"/>
        <v>0.13763143879813228</v>
      </c>
      <c r="N24" s="7">
        <f t="shared" si="47"/>
        <v>0.17480684251904463</v>
      </c>
      <c r="O24" s="7">
        <f t="shared" si="47"/>
        <v>8.8203838284230864E-3</v>
      </c>
      <c r="P24" s="7">
        <f t="shared" si="47"/>
        <v>9.9999999999999964E-2</v>
      </c>
      <c r="Q24" s="7">
        <f t="shared" si="47"/>
        <v>0.18999999999999997</v>
      </c>
      <c r="R24" s="7">
        <f t="shared" si="47"/>
        <v>0.27099999999999991</v>
      </c>
      <c r="S24" s="7">
        <f t="shared" si="47"/>
        <v>0.34389999999999987</v>
      </c>
      <c r="T24" s="7">
        <f t="shared" si="47"/>
        <v>0.40950999999999976</v>
      </c>
    </row>
    <row r="25" spans="1:117" x14ac:dyDescent="0.2">
      <c r="A25" s="1" t="s">
        <v>42</v>
      </c>
      <c r="B25" s="7"/>
      <c r="C25" s="7"/>
      <c r="D25" s="7"/>
      <c r="E25" s="7"/>
      <c r="F25" s="7"/>
      <c r="G25" s="7"/>
      <c r="H25" s="7"/>
      <c r="I25" s="7"/>
      <c r="K25" s="7"/>
      <c r="L25" s="7"/>
      <c r="M25" s="7">
        <f>M30/M6</f>
        <v>0.27623512218080032</v>
      </c>
      <c r="N25" s="7">
        <f t="shared" ref="N25:O25" si="48">N30/N6</f>
        <v>0.1257895735625017</v>
      </c>
      <c r="O25" s="7">
        <f t="shared" si="48"/>
        <v>5.9344056900169827E-2</v>
      </c>
      <c r="P25" s="7">
        <v>0.15</v>
      </c>
      <c r="Q25" s="7">
        <f>P25*1.2</f>
        <v>0.18</v>
      </c>
      <c r="R25" s="7">
        <f t="shared" ref="R25:T25" si="49">Q25*1.2</f>
        <v>0.216</v>
      </c>
      <c r="S25" s="7">
        <f t="shared" si="49"/>
        <v>0.25919999999999999</v>
      </c>
      <c r="T25" s="7">
        <f t="shared" si="49"/>
        <v>0.31103999999999998</v>
      </c>
    </row>
    <row r="26" spans="1:117" x14ac:dyDescent="0.2">
      <c r="A26" s="1" t="s">
        <v>45</v>
      </c>
      <c r="B26" s="7"/>
      <c r="C26" s="7"/>
      <c r="D26" s="7"/>
      <c r="E26" s="7"/>
      <c r="F26" s="7"/>
      <c r="G26" s="7"/>
      <c r="H26" s="7"/>
      <c r="I26" s="7"/>
      <c r="K26" s="7"/>
      <c r="L26" s="7"/>
      <c r="M26" s="7">
        <f>M10/M6</f>
        <v>0.86236856120186767</v>
      </c>
      <c r="N26" s="7">
        <f t="shared" ref="N26:O26" si="50">N10/N6</f>
        <v>0.82519315748095534</v>
      </c>
      <c r="O26" s="7">
        <f t="shared" si="50"/>
        <v>0.9911796161715769</v>
      </c>
      <c r="P26" s="7">
        <v>0.9</v>
      </c>
      <c r="Q26" s="7">
        <f>P26*0.9</f>
        <v>0.81</v>
      </c>
      <c r="R26" s="7">
        <f t="shared" ref="R26:T26" si="51">Q26*0.9</f>
        <v>0.72900000000000009</v>
      </c>
      <c r="S26" s="7">
        <f t="shared" si="51"/>
        <v>0.65610000000000013</v>
      </c>
      <c r="T26" s="7">
        <f t="shared" si="51"/>
        <v>0.59049000000000018</v>
      </c>
    </row>
    <row r="27" spans="1:117" x14ac:dyDescent="0.2">
      <c r="O27" s="7"/>
    </row>
    <row r="28" spans="1:117" x14ac:dyDescent="0.2">
      <c r="A28" s="1" t="s">
        <v>20</v>
      </c>
      <c r="M28" s="1">
        <v>969.94</v>
      </c>
      <c r="N28" s="1">
        <v>496.5</v>
      </c>
      <c r="O28" s="1">
        <v>335.4</v>
      </c>
    </row>
    <row r="29" spans="1:117" x14ac:dyDescent="0.2">
      <c r="A29" s="1" t="s">
        <v>21</v>
      </c>
      <c r="M29" s="1">
        <v>77.8</v>
      </c>
      <c r="N29" s="1">
        <v>32.5</v>
      </c>
      <c r="O29" s="1">
        <v>86.26</v>
      </c>
    </row>
    <row r="30" spans="1:117" s="3" customFormat="1" ht="15" x14ac:dyDescent="0.25">
      <c r="A30" s="3" t="s">
        <v>22</v>
      </c>
      <c r="M30" s="3">
        <f>M28-M29</f>
        <v>892.1400000000001</v>
      </c>
      <c r="N30" s="3">
        <f t="shared" ref="N30:O30" si="52">N28-N29</f>
        <v>464</v>
      </c>
      <c r="O30" s="3">
        <f t="shared" si="52"/>
        <v>249.14</v>
      </c>
      <c r="P30" s="3">
        <f>P25*P6</f>
        <v>694.7204549999999</v>
      </c>
      <c r="Q30" s="3">
        <f t="shared" ref="Q30:T30" si="53">Q25*Q6</f>
        <v>905.09435514000006</v>
      </c>
      <c r="R30" s="3">
        <f t="shared" si="53"/>
        <v>1179.2410165231202</v>
      </c>
      <c r="S30" s="3">
        <f t="shared" si="53"/>
        <v>1536.5120880122413</v>
      </c>
      <c r="T30" s="3">
        <f t="shared" si="53"/>
        <v>2002.1370636256117</v>
      </c>
      <c r="U30" s="3">
        <f>T30*(1+$W$19)</f>
        <v>1902.030210444331</v>
      </c>
      <c r="V30" s="3">
        <f t="shared" ref="V30:CG30" si="54">U30*(1+$W$19)</f>
        <v>1806.9286999221144</v>
      </c>
      <c r="W30" s="3">
        <f t="shared" si="54"/>
        <v>1716.5822649260087</v>
      </c>
      <c r="X30" s="3">
        <f t="shared" si="54"/>
        <v>1630.7531516797083</v>
      </c>
      <c r="Y30" s="3">
        <f t="shared" si="54"/>
        <v>1549.2154940957228</v>
      </c>
      <c r="Z30" s="3">
        <f t="shared" si="54"/>
        <v>1471.7547193909365</v>
      </c>
      <c r="AA30" s="3">
        <f t="shared" si="54"/>
        <v>1398.1669834213897</v>
      </c>
      <c r="AB30" s="3">
        <f t="shared" si="54"/>
        <v>1328.25863425032</v>
      </c>
      <c r="AC30" s="3">
        <f t="shared" si="54"/>
        <v>1261.8457025378041</v>
      </c>
      <c r="AD30" s="3">
        <f t="shared" si="54"/>
        <v>1198.7534174109139</v>
      </c>
      <c r="AE30" s="3">
        <f t="shared" si="54"/>
        <v>1138.8157465403681</v>
      </c>
      <c r="AF30" s="3">
        <f t="shared" si="54"/>
        <v>1081.8749592133497</v>
      </c>
      <c r="AG30" s="3">
        <f t="shared" si="54"/>
        <v>1027.7812112526822</v>
      </c>
      <c r="AH30" s="3">
        <f t="shared" si="54"/>
        <v>976.39215069004797</v>
      </c>
      <c r="AI30" s="3">
        <f t="shared" si="54"/>
        <v>927.57254315554553</v>
      </c>
      <c r="AJ30" s="3">
        <f t="shared" si="54"/>
        <v>881.19391599776816</v>
      </c>
      <c r="AK30" s="3">
        <f t="shared" si="54"/>
        <v>837.1342201978797</v>
      </c>
      <c r="AL30" s="3">
        <f t="shared" si="54"/>
        <v>795.27750918798563</v>
      </c>
      <c r="AM30" s="3">
        <f t="shared" si="54"/>
        <v>755.51363372858634</v>
      </c>
      <c r="AN30" s="3">
        <f t="shared" si="54"/>
        <v>717.73795204215696</v>
      </c>
      <c r="AO30" s="3">
        <f t="shared" si="54"/>
        <v>681.8510544400491</v>
      </c>
      <c r="AP30" s="3">
        <f t="shared" si="54"/>
        <v>647.75850171804666</v>
      </c>
      <c r="AQ30" s="3">
        <f t="shared" si="54"/>
        <v>615.37057663214432</v>
      </c>
      <c r="AR30" s="3">
        <f t="shared" si="54"/>
        <v>584.60204780053709</v>
      </c>
      <c r="AS30" s="3">
        <f t="shared" si="54"/>
        <v>555.37194541051019</v>
      </c>
      <c r="AT30" s="3">
        <f t="shared" si="54"/>
        <v>527.60334813998463</v>
      </c>
      <c r="AU30" s="3">
        <f t="shared" si="54"/>
        <v>501.22318073298538</v>
      </c>
      <c r="AV30" s="3">
        <f t="shared" si="54"/>
        <v>476.16202169633607</v>
      </c>
      <c r="AW30" s="3">
        <f t="shared" si="54"/>
        <v>452.35392061151924</v>
      </c>
      <c r="AX30" s="3">
        <f t="shared" si="54"/>
        <v>429.73622458094326</v>
      </c>
      <c r="AY30" s="3">
        <f t="shared" si="54"/>
        <v>408.24941335189607</v>
      </c>
      <c r="AZ30" s="3">
        <f t="shared" si="54"/>
        <v>387.83694268430122</v>
      </c>
      <c r="BA30" s="3">
        <f t="shared" si="54"/>
        <v>368.44509555008614</v>
      </c>
      <c r="BB30" s="3">
        <f t="shared" si="54"/>
        <v>350.02284077258179</v>
      </c>
      <c r="BC30" s="3">
        <f t="shared" si="54"/>
        <v>332.52169873395269</v>
      </c>
      <c r="BD30" s="3">
        <f t="shared" si="54"/>
        <v>315.89561379725507</v>
      </c>
      <c r="BE30" s="3">
        <f t="shared" si="54"/>
        <v>300.1008331073923</v>
      </c>
      <c r="BF30" s="3">
        <f t="shared" si="54"/>
        <v>285.0957914520227</v>
      </c>
      <c r="BG30" s="3">
        <f t="shared" si="54"/>
        <v>270.84100187942153</v>
      </c>
      <c r="BH30" s="3">
        <f t="shared" si="54"/>
        <v>257.29895178545041</v>
      </c>
      <c r="BI30" s="3">
        <f t="shared" si="54"/>
        <v>244.43400419617788</v>
      </c>
      <c r="BJ30" s="3">
        <f t="shared" si="54"/>
        <v>232.21230398636897</v>
      </c>
      <c r="BK30" s="3">
        <f t="shared" si="54"/>
        <v>220.60168878705051</v>
      </c>
      <c r="BL30" s="3">
        <f t="shared" si="54"/>
        <v>209.57160434769798</v>
      </c>
      <c r="BM30" s="3">
        <f t="shared" si="54"/>
        <v>199.09302413031307</v>
      </c>
      <c r="BN30" s="3">
        <f t="shared" si="54"/>
        <v>189.13837292379742</v>
      </c>
      <c r="BO30" s="3">
        <f t="shared" si="54"/>
        <v>179.68145427760754</v>
      </c>
      <c r="BP30" s="3">
        <f t="shared" si="54"/>
        <v>170.69738156372716</v>
      </c>
      <c r="BQ30" s="3">
        <f t="shared" si="54"/>
        <v>162.16251248554079</v>
      </c>
      <c r="BR30" s="3">
        <f t="shared" si="54"/>
        <v>154.05438686126374</v>
      </c>
      <c r="BS30" s="3">
        <f t="shared" si="54"/>
        <v>146.35166751820054</v>
      </c>
      <c r="BT30" s="3">
        <f t="shared" si="54"/>
        <v>139.03408414229051</v>
      </c>
      <c r="BU30" s="3">
        <f t="shared" si="54"/>
        <v>132.08237993517596</v>
      </c>
      <c r="BV30" s="3">
        <f t="shared" si="54"/>
        <v>125.47826093841716</v>
      </c>
      <c r="BW30" s="3">
        <f t="shared" si="54"/>
        <v>119.2043478914963</v>
      </c>
      <c r="BX30" s="3">
        <f t="shared" si="54"/>
        <v>113.24413049692147</v>
      </c>
      <c r="BY30" s="3">
        <f t="shared" si="54"/>
        <v>107.58192397207539</v>
      </c>
      <c r="BZ30" s="3">
        <f t="shared" si="54"/>
        <v>102.20282777347161</v>
      </c>
      <c r="CA30" s="3">
        <f t="shared" si="54"/>
        <v>97.092686384798029</v>
      </c>
      <c r="CB30" s="3">
        <f t="shared" si="54"/>
        <v>92.238052065558122</v>
      </c>
      <c r="CC30" s="3">
        <f t="shared" si="54"/>
        <v>87.62614946228021</v>
      </c>
      <c r="CD30" s="3">
        <f t="shared" si="54"/>
        <v>83.24484198916619</v>
      </c>
      <c r="CE30" s="3">
        <f t="shared" si="54"/>
        <v>79.082599889707879</v>
      </c>
      <c r="CF30" s="3">
        <f t="shared" si="54"/>
        <v>75.12846989522248</v>
      </c>
      <c r="CG30" s="3">
        <f t="shared" si="54"/>
        <v>71.372046400461358</v>
      </c>
      <c r="CH30" s="3">
        <f t="shared" ref="CH30:DM30" si="55">CG30*(1+$W$19)</f>
        <v>67.803444080438283</v>
      </c>
      <c r="CI30" s="3">
        <f t="shared" si="55"/>
        <v>64.41327187641636</v>
      </c>
      <c r="CJ30" s="3">
        <f t="shared" si="55"/>
        <v>61.192608282595536</v>
      </c>
      <c r="CK30" s="3">
        <f t="shared" si="55"/>
        <v>58.132977868465758</v>
      </c>
      <c r="CL30" s="3">
        <f t="shared" si="55"/>
        <v>55.22632897504247</v>
      </c>
      <c r="CM30" s="3">
        <f t="shared" si="55"/>
        <v>52.465012526290344</v>
      </c>
      <c r="CN30" s="3">
        <f t="shared" si="55"/>
        <v>49.841761899975822</v>
      </c>
      <c r="CO30" s="3">
        <f t="shared" si="55"/>
        <v>47.34967380497703</v>
      </c>
      <c r="CP30" s="3">
        <f t="shared" si="55"/>
        <v>44.982190114728176</v>
      </c>
      <c r="CQ30" s="3">
        <f t="shared" si="55"/>
        <v>42.733080608991763</v>
      </c>
      <c r="CR30" s="3">
        <f t="shared" si="55"/>
        <v>40.596426578542172</v>
      </c>
      <c r="CS30" s="3">
        <f t="shared" si="55"/>
        <v>38.566605249615058</v>
      </c>
      <c r="CT30" s="3">
        <f t="shared" si="55"/>
        <v>36.638274987134302</v>
      </c>
      <c r="CU30" s="3">
        <f t="shared" si="55"/>
        <v>34.806361237777587</v>
      </c>
      <c r="CV30" s="3">
        <f t="shared" si="55"/>
        <v>33.066043175888709</v>
      </c>
      <c r="CW30" s="3">
        <f t="shared" si="55"/>
        <v>31.412741017094273</v>
      </c>
      <c r="CX30" s="3">
        <f t="shared" si="55"/>
        <v>29.842103966239559</v>
      </c>
      <c r="CY30" s="3">
        <f t="shared" si="55"/>
        <v>28.34999876792758</v>
      </c>
      <c r="CZ30" s="3">
        <f t="shared" si="55"/>
        <v>26.932498829531202</v>
      </c>
      <c r="DA30" s="3">
        <f t="shared" si="55"/>
        <v>25.585873888054639</v>
      </c>
      <c r="DB30" s="3">
        <f t="shared" si="55"/>
        <v>24.306580193651907</v>
      </c>
      <c r="DC30" s="3">
        <f t="shared" si="55"/>
        <v>23.091251183969312</v>
      </c>
      <c r="DD30" s="3">
        <f t="shared" si="55"/>
        <v>21.936688624770845</v>
      </c>
      <c r="DE30" s="3">
        <f t="shared" si="55"/>
        <v>20.8398541935323</v>
      </c>
      <c r="DF30" s="3">
        <f t="shared" si="55"/>
        <v>19.797861483855684</v>
      </c>
      <c r="DG30" s="3">
        <f t="shared" si="55"/>
        <v>18.807968409662898</v>
      </c>
      <c r="DH30" s="3">
        <f t="shared" si="55"/>
        <v>17.867569989179753</v>
      </c>
      <c r="DI30" s="3">
        <f t="shared" si="55"/>
        <v>16.974191489720763</v>
      </c>
      <c r="DJ30" s="3">
        <f t="shared" si="55"/>
        <v>16.125481915234722</v>
      </c>
      <c r="DK30" s="3">
        <f t="shared" si="55"/>
        <v>15.319207819472986</v>
      </c>
      <c r="DL30" s="3">
        <f t="shared" si="55"/>
        <v>14.553247428499336</v>
      </c>
      <c r="DM30" s="3">
        <f t="shared" si="55"/>
        <v>13.825585057074369</v>
      </c>
    </row>
    <row r="32" spans="1:117" x14ac:dyDescent="0.2">
      <c r="A32" s="1" t="s">
        <v>23</v>
      </c>
      <c r="F32" s="1">
        <f>F34-F36</f>
        <v>2200.5</v>
      </c>
      <c r="G32" s="1">
        <f>F32+G16</f>
        <v>2413.1263512</v>
      </c>
      <c r="H32" s="1">
        <f t="shared" ref="H32:I32" si="56">G32+H16</f>
        <v>2645.06186301972</v>
      </c>
      <c r="I32" s="1">
        <f t="shared" si="56"/>
        <v>2898.0464074647234</v>
      </c>
      <c r="O32" s="1">
        <f>O34-O36</f>
        <v>1957.1799999999998</v>
      </c>
      <c r="P32" s="1">
        <f>I32</f>
        <v>2898.0464074647234</v>
      </c>
      <c r="Q32" s="1">
        <f>P32+Q16</f>
        <v>3812.7471365122092</v>
      </c>
      <c r="R32" s="1">
        <f t="shared" ref="R32:T32" si="57">Q32+R16</f>
        <v>5196.450330388323</v>
      </c>
      <c r="S32" s="1">
        <f t="shared" si="57"/>
        <v>7100.2681510308503</v>
      </c>
      <c r="T32" s="1">
        <f t="shared" si="57"/>
        <v>9580.4848001639803</v>
      </c>
    </row>
    <row r="34" spans="1:15" x14ac:dyDescent="0.2">
      <c r="A34" s="1" t="s">
        <v>4</v>
      </c>
      <c r="F34" s="1">
        <f>1941.7+466.9</f>
        <v>2408.6</v>
      </c>
      <c r="O34" s="1">
        <f>1687.8+470.26</f>
        <v>2158.06</v>
      </c>
    </row>
    <row r="36" spans="1:15" x14ac:dyDescent="0.2">
      <c r="A36" s="1" t="s">
        <v>5</v>
      </c>
      <c r="F36" s="1">
        <f>175.5+32.6</f>
        <v>208.1</v>
      </c>
      <c r="O36" s="1">
        <f>33.34+167.54</f>
        <v>200.88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2025-05-01T17:13:20Z</dcterms:created>
  <dcterms:modified xsi:type="dcterms:W3CDTF">2025-05-12T03:22:31Z</dcterms:modified>
</cp:coreProperties>
</file>