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D2CB00D-2496-425D-AC4B-5B83DCC6A73F}" xr6:coauthVersionLast="47" xr6:coauthVersionMax="47" xr10:uidLastSave="{00000000-0000-0000-0000-000000000000}"/>
  <bookViews>
    <workbookView xWindow="2670" yWindow="330" windowWidth="23670" windowHeight="1428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X14" i="2"/>
  <c r="Y14" i="2"/>
  <c r="Z14" i="2" s="1"/>
  <c r="Z13" i="2" s="1"/>
  <c r="V14" i="2"/>
  <c r="V13" i="2"/>
  <c r="W13" i="2"/>
  <c r="X13" i="2"/>
  <c r="U14" i="2"/>
  <c r="U13" i="2"/>
  <c r="T13" i="2"/>
  <c r="I13" i="2"/>
  <c r="W7" i="2"/>
  <c r="W8" i="2"/>
  <c r="W9" i="2"/>
  <c r="W10" i="2"/>
  <c r="X7" i="2"/>
  <c r="Y7" i="2" s="1"/>
  <c r="Z7" i="2" s="1"/>
  <c r="X8" i="2"/>
  <c r="Y8" i="2"/>
  <c r="Z8" i="2" s="1"/>
  <c r="X9" i="2"/>
  <c r="Y9" i="2" s="1"/>
  <c r="Z9" i="2" s="1"/>
  <c r="X10" i="2"/>
  <c r="Y10" i="2"/>
  <c r="Z10" i="2" s="1"/>
  <c r="V6" i="2"/>
  <c r="V11" i="2" s="1"/>
  <c r="S11" i="2"/>
  <c r="T11" i="2"/>
  <c r="Y13" i="2" l="1"/>
  <c r="W6" i="2"/>
  <c r="Z6" i="2"/>
  <c r="Y6" i="2"/>
  <c r="X6" i="2"/>
  <c r="U33" i="2"/>
  <c r="U58" i="2"/>
  <c r="U59" i="2"/>
  <c r="U60" i="2"/>
  <c r="U61" i="2"/>
  <c r="U62" i="2"/>
  <c r="U63" i="2"/>
  <c r="U64" i="2"/>
  <c r="U65" i="2"/>
  <c r="U57" i="2"/>
  <c r="U49" i="2"/>
  <c r="U50" i="2"/>
  <c r="U51" i="2"/>
  <c r="U52" i="2"/>
  <c r="U53" i="2"/>
  <c r="U54" i="2"/>
  <c r="U48" i="2"/>
  <c r="U46" i="2"/>
  <c r="U45" i="2"/>
  <c r="U28" i="2"/>
  <c r="K20" i="2"/>
  <c r="D42" i="2"/>
  <c r="E42" i="2"/>
  <c r="F42" i="2"/>
  <c r="C42" i="2"/>
  <c r="I41" i="2"/>
  <c r="I37" i="2"/>
  <c r="L20" i="2"/>
  <c r="L70" i="2" s="1"/>
  <c r="F17" i="1"/>
  <c r="F15" i="1"/>
  <c r="E18" i="2"/>
  <c r="H18" i="2"/>
  <c r="D92" i="2"/>
  <c r="E92" i="2"/>
  <c r="F92" i="2"/>
  <c r="G92" i="2"/>
  <c r="H92" i="2"/>
  <c r="I92" i="2"/>
  <c r="K92" i="2"/>
  <c r="L92" i="2"/>
  <c r="M92" i="2"/>
  <c r="N92" i="2"/>
  <c r="C92" i="2"/>
  <c r="D88" i="2"/>
  <c r="E88" i="2"/>
  <c r="F88" i="2"/>
  <c r="G88" i="2"/>
  <c r="H88" i="2"/>
  <c r="C88" i="2"/>
  <c r="I88" i="2"/>
  <c r="D72" i="2"/>
  <c r="E72" i="2"/>
  <c r="F72" i="2"/>
  <c r="C72" i="2"/>
  <c r="D70" i="2"/>
  <c r="E70" i="2"/>
  <c r="F70" i="2"/>
  <c r="G70" i="2"/>
  <c r="H70" i="2"/>
  <c r="I70" i="2"/>
  <c r="J70" i="2"/>
  <c r="C70" i="2"/>
  <c r="I45" i="2"/>
  <c r="I46" i="2"/>
  <c r="H46" i="2"/>
  <c r="H45" i="2"/>
  <c r="T45" i="2"/>
  <c r="T46" i="2"/>
  <c r="U92" i="2"/>
  <c r="V92" i="2"/>
  <c r="W92" i="2"/>
  <c r="X92" i="2"/>
  <c r="Y92" i="2"/>
  <c r="Z92" i="2"/>
  <c r="S92" i="2"/>
  <c r="T92" i="2"/>
  <c r="R92" i="2"/>
  <c r="S88" i="2"/>
  <c r="T88" i="2"/>
  <c r="R88" i="2"/>
  <c r="Q70" i="2"/>
  <c r="R70" i="2"/>
  <c r="P70" i="2"/>
  <c r="T70" i="2"/>
  <c r="S70" i="2"/>
  <c r="S46" i="2"/>
  <c r="S45" i="2"/>
  <c r="Q55" i="2"/>
  <c r="R55" i="2"/>
  <c r="S55" i="2"/>
  <c r="T55" i="2"/>
  <c r="V55" i="2"/>
  <c r="W55" i="2"/>
  <c r="X55" i="2"/>
  <c r="Y55" i="2"/>
  <c r="Z55" i="2"/>
  <c r="Q66" i="2"/>
  <c r="R66" i="2"/>
  <c r="S66" i="2"/>
  <c r="T66" i="2"/>
  <c r="V66" i="2"/>
  <c r="W66" i="2"/>
  <c r="X66" i="2"/>
  <c r="Y66" i="2"/>
  <c r="Z66" i="2"/>
  <c r="P66" i="2"/>
  <c r="P55" i="2"/>
  <c r="D55" i="2"/>
  <c r="E55" i="2"/>
  <c r="F55" i="2"/>
  <c r="G55" i="2"/>
  <c r="H55" i="2"/>
  <c r="I55" i="2"/>
  <c r="J55" i="2"/>
  <c r="K55" i="2"/>
  <c r="L55" i="2"/>
  <c r="M55" i="2"/>
  <c r="N55" i="2"/>
  <c r="D66" i="2"/>
  <c r="E66" i="2"/>
  <c r="F66" i="2"/>
  <c r="G66" i="2"/>
  <c r="H66" i="2"/>
  <c r="I66" i="2"/>
  <c r="J66" i="2"/>
  <c r="K66" i="2"/>
  <c r="L66" i="2"/>
  <c r="M66" i="2"/>
  <c r="N66" i="2"/>
  <c r="C55" i="2"/>
  <c r="C66" i="2"/>
  <c r="U20" i="2"/>
  <c r="J21" i="2"/>
  <c r="U21" i="2" s="1"/>
  <c r="U22" i="2" s="1"/>
  <c r="Q22" i="2"/>
  <c r="R22" i="2"/>
  <c r="Q26" i="2"/>
  <c r="R26" i="2"/>
  <c r="P26" i="2"/>
  <c r="P22" i="2"/>
  <c r="P40" i="2" s="1"/>
  <c r="R36" i="2"/>
  <c r="S36" i="2"/>
  <c r="Q36" i="2"/>
  <c r="D38" i="2"/>
  <c r="E38" i="2"/>
  <c r="F38" i="2"/>
  <c r="C38" i="2"/>
  <c r="C41" i="2"/>
  <c r="D41" i="2"/>
  <c r="E41" i="2"/>
  <c r="F41" i="2"/>
  <c r="C40" i="2"/>
  <c r="D40" i="2"/>
  <c r="E40" i="2"/>
  <c r="F40" i="2"/>
  <c r="D37" i="2"/>
  <c r="E37" i="2"/>
  <c r="F37" i="2"/>
  <c r="G37" i="2"/>
  <c r="G36" i="2"/>
  <c r="H36" i="2"/>
  <c r="I36" i="2"/>
  <c r="J36" i="2"/>
  <c r="S41" i="2"/>
  <c r="T41" i="2"/>
  <c r="H37" i="2"/>
  <c r="T36" i="2"/>
  <c r="S26" i="2"/>
  <c r="S42" i="2" s="1"/>
  <c r="S22" i="2"/>
  <c r="S40" i="2" s="1"/>
  <c r="T22" i="2"/>
  <c r="T40" i="2" s="1"/>
  <c r="T26" i="2"/>
  <c r="T42" i="2" s="1"/>
  <c r="G41" i="2"/>
  <c r="G26" i="2"/>
  <c r="G42" i="2" s="1"/>
  <c r="G22" i="2"/>
  <c r="G40" i="2" s="1"/>
  <c r="H41" i="2"/>
  <c r="H26" i="2"/>
  <c r="H42" i="2" s="1"/>
  <c r="H22" i="2"/>
  <c r="H40" i="2" s="1"/>
  <c r="U1" i="2"/>
  <c r="V1" i="2" s="1"/>
  <c r="W1" i="2" s="1"/>
  <c r="X1" i="2" s="1"/>
  <c r="Y1" i="2" s="1"/>
  <c r="Z1" i="2" s="1"/>
  <c r="U41" i="2" l="1"/>
  <c r="U11" i="2"/>
  <c r="F18" i="1"/>
  <c r="F93" i="2"/>
  <c r="E93" i="2"/>
  <c r="D93" i="2"/>
  <c r="P67" i="2"/>
  <c r="U66" i="2"/>
  <c r="U55" i="2"/>
  <c r="U67" i="2" s="1"/>
  <c r="U68" i="2" s="1"/>
  <c r="I44" i="2"/>
  <c r="U40" i="2"/>
  <c r="U70" i="2"/>
  <c r="M20" i="2"/>
  <c r="N20" i="2" s="1"/>
  <c r="G93" i="2"/>
  <c r="H93" i="2"/>
  <c r="H44" i="2"/>
  <c r="N67" i="2"/>
  <c r="N68" i="2" s="1"/>
  <c r="M67" i="2"/>
  <c r="M68" i="2" s="1"/>
  <c r="I93" i="2"/>
  <c r="C93" i="2"/>
  <c r="T44" i="2"/>
  <c r="L67" i="2"/>
  <c r="L68" i="2" s="1"/>
  <c r="Z67" i="2"/>
  <c r="Z68" i="2" s="1"/>
  <c r="K70" i="2"/>
  <c r="K67" i="2"/>
  <c r="K68" i="2" s="1"/>
  <c r="Y67" i="2"/>
  <c r="Y68" i="2" s="1"/>
  <c r="Q67" i="2"/>
  <c r="Q68" i="2" s="1"/>
  <c r="S93" i="2"/>
  <c r="J67" i="2"/>
  <c r="J68" i="2" s="1"/>
  <c r="X67" i="2"/>
  <c r="X68" i="2" s="1"/>
  <c r="R93" i="2"/>
  <c r="T93" i="2"/>
  <c r="W67" i="2"/>
  <c r="W68" i="2" s="1"/>
  <c r="I67" i="2"/>
  <c r="I68" i="2" s="1"/>
  <c r="E67" i="2"/>
  <c r="E68" i="2" s="1"/>
  <c r="R67" i="2"/>
  <c r="R68" i="2" s="1"/>
  <c r="C67" i="2"/>
  <c r="C68" i="2" s="1"/>
  <c r="T67" i="2"/>
  <c r="T68" i="2" s="1"/>
  <c r="S67" i="2"/>
  <c r="S68" i="2" s="1"/>
  <c r="V67" i="2"/>
  <c r="V68" i="2" s="1"/>
  <c r="P68" i="2"/>
  <c r="H67" i="2"/>
  <c r="H68" i="2" s="1"/>
  <c r="G67" i="2"/>
  <c r="G68" i="2" s="1"/>
  <c r="F67" i="2"/>
  <c r="F68" i="2" s="1"/>
  <c r="D67" i="2"/>
  <c r="D68" i="2" s="1"/>
  <c r="L21" i="2"/>
  <c r="M70" i="2"/>
  <c r="R27" i="2"/>
  <c r="R30" i="2" s="1"/>
  <c r="R32" i="2" s="1"/>
  <c r="Q27" i="2"/>
  <c r="Q30" i="2" s="1"/>
  <c r="Q32" i="2" s="1"/>
  <c r="Q40" i="2"/>
  <c r="R40" i="2"/>
  <c r="K21" i="2"/>
  <c r="P27" i="2"/>
  <c r="S27" i="2"/>
  <c r="G27" i="2"/>
  <c r="T27" i="2"/>
  <c r="H27" i="2"/>
  <c r="O20" i="2" l="1"/>
  <c r="Q38" i="2"/>
  <c r="R38" i="2"/>
  <c r="W20" i="2"/>
  <c r="V70" i="2"/>
  <c r="R41" i="2"/>
  <c r="R72" i="2"/>
  <c r="W36" i="2"/>
  <c r="M21" i="2"/>
  <c r="M22" i="2" s="1"/>
  <c r="M36" i="2"/>
  <c r="M37" i="2"/>
  <c r="N70" i="2"/>
  <c r="Q34" i="2"/>
  <c r="R34" i="2"/>
  <c r="P30" i="2"/>
  <c r="P32" i="2" s="1"/>
  <c r="P34" i="2" s="1"/>
  <c r="P38" i="2"/>
  <c r="I22" i="2"/>
  <c r="I40" i="2" s="1"/>
  <c r="H30" i="2"/>
  <c r="H32" i="2" s="1"/>
  <c r="H72" i="2" s="1"/>
  <c r="H38" i="2"/>
  <c r="G30" i="2"/>
  <c r="G32" i="2" s="1"/>
  <c r="G38" i="2"/>
  <c r="S30" i="2"/>
  <c r="S32" i="2" s="1"/>
  <c r="S38" i="2"/>
  <c r="J37" i="2"/>
  <c r="J23" i="2" s="1"/>
  <c r="T30" i="2"/>
  <c r="T32" i="2" s="1"/>
  <c r="T72" i="2" s="1"/>
  <c r="T38" i="2"/>
  <c r="W70" i="2" l="1"/>
  <c r="W11" i="2"/>
  <c r="U23" i="2"/>
  <c r="K23" i="2"/>
  <c r="L23" i="2" s="1"/>
  <c r="M23" i="2" s="1"/>
  <c r="N23" i="2" s="1"/>
  <c r="X20" i="2"/>
  <c r="G34" i="2"/>
  <c r="G72" i="2"/>
  <c r="S34" i="2"/>
  <c r="S72" i="2"/>
  <c r="Y20" i="2"/>
  <c r="X36" i="2"/>
  <c r="N21" i="2"/>
  <c r="N22" i="2" s="1"/>
  <c r="N36" i="2"/>
  <c r="N37" i="2"/>
  <c r="H34" i="2"/>
  <c r="J25" i="2"/>
  <c r="U25" i="2" s="1"/>
  <c r="J22" i="2"/>
  <c r="I26" i="2"/>
  <c r="J24" i="2"/>
  <c r="U24" i="2" s="1"/>
  <c r="T34" i="2"/>
  <c r="K36" i="2"/>
  <c r="K37" i="2"/>
  <c r="X70" i="2" l="1"/>
  <c r="X11" i="2"/>
  <c r="Y70" i="2"/>
  <c r="Y11" i="2"/>
  <c r="I27" i="2"/>
  <c r="I38" i="2" s="1"/>
  <c r="I42" i="2"/>
  <c r="U26" i="2"/>
  <c r="Z20" i="2"/>
  <c r="Y36" i="2"/>
  <c r="U36" i="2"/>
  <c r="V36" i="2"/>
  <c r="K24" i="2"/>
  <c r="J26" i="2"/>
  <c r="J42" i="2" s="1"/>
  <c r="K22" i="2"/>
  <c r="K25" i="2"/>
  <c r="L36" i="2"/>
  <c r="L37" i="2"/>
  <c r="Z70" i="2" l="1"/>
  <c r="Z11" i="2"/>
  <c r="J27" i="2"/>
  <c r="I30" i="2"/>
  <c r="U42" i="2"/>
  <c r="U27" i="2"/>
  <c r="Z36" i="2"/>
  <c r="Z21" i="2"/>
  <c r="Z22" i="2" s="1"/>
  <c r="V25" i="2"/>
  <c r="W25" i="2" s="1"/>
  <c r="X25" i="2" s="1"/>
  <c r="Y25" i="2" s="1"/>
  <c r="V24" i="2"/>
  <c r="W24" i="2" s="1"/>
  <c r="L25" i="2"/>
  <c r="M25" i="2" s="1"/>
  <c r="N25" i="2" s="1"/>
  <c r="L24" i="2"/>
  <c r="M24" i="2" s="1"/>
  <c r="K26" i="2"/>
  <c r="I32" i="2"/>
  <c r="I34" i="2" s="1"/>
  <c r="L22" i="2"/>
  <c r="K27" i="2" l="1"/>
  <c r="K42" i="2"/>
  <c r="J29" i="2"/>
  <c r="U29" i="2" s="1"/>
  <c r="U30" i="2" s="1"/>
  <c r="I72" i="2"/>
  <c r="Z25" i="2"/>
  <c r="N24" i="2"/>
  <c r="N26" i="2" s="1"/>
  <c r="M26" i="2"/>
  <c r="J30" i="2"/>
  <c r="V23" i="2"/>
  <c r="L26" i="2"/>
  <c r="X24" i="2"/>
  <c r="J31" i="2" l="1"/>
  <c r="U31" i="2" s="1"/>
  <c r="U38" i="2" s="1"/>
  <c r="L27" i="2"/>
  <c r="L42" i="2"/>
  <c r="M27" i="2"/>
  <c r="M42" i="2"/>
  <c r="N27" i="2"/>
  <c r="N42" i="2"/>
  <c r="W23" i="2"/>
  <c r="V26" i="2"/>
  <c r="V42" i="2" s="1"/>
  <c r="Y24" i="2"/>
  <c r="Z24" i="2" s="1"/>
  <c r="J32" i="2" l="1"/>
  <c r="U32" i="2"/>
  <c r="U34" i="2" s="1"/>
  <c r="X23" i="2"/>
  <c r="W26" i="2"/>
  <c r="W42" i="2" s="1"/>
  <c r="J72" i="2" l="1"/>
  <c r="J88" i="2" s="1"/>
  <c r="J93" i="2" s="1"/>
  <c r="J34" i="2"/>
  <c r="J44" i="2"/>
  <c r="Y23" i="2"/>
  <c r="X26" i="2"/>
  <c r="X42" i="2" s="1"/>
  <c r="U44" i="2" l="1"/>
  <c r="K29" i="2"/>
  <c r="K30" i="2" s="1"/>
  <c r="K31" i="2" s="1"/>
  <c r="K32" i="2" s="1"/>
  <c r="K72" i="2" s="1"/>
  <c r="K88" i="2" s="1"/>
  <c r="K93" i="2" s="1"/>
  <c r="K44" i="2"/>
  <c r="L29" i="2" s="1"/>
  <c r="L30" i="2" s="1"/>
  <c r="Y26" i="2"/>
  <c r="Y42" i="2" s="1"/>
  <c r="Z23" i="2"/>
  <c r="Z26" i="2" s="1"/>
  <c r="K34" i="2" l="1"/>
  <c r="L31" i="2"/>
  <c r="L32" i="2" s="1"/>
  <c r="Z27" i="2"/>
  <c r="Z31" i="2" s="1"/>
  <c r="Z42" i="2"/>
  <c r="U72" i="2"/>
  <c r="U88" i="2" s="1"/>
  <c r="U93" i="2" s="1"/>
  <c r="Y21" i="2"/>
  <c r="Y22" i="2" s="1"/>
  <c r="Y27" i="2" s="1"/>
  <c r="X21" i="2"/>
  <c r="X22" i="2" s="1"/>
  <c r="X27" i="2" s="1"/>
  <c r="W21" i="2"/>
  <c r="W22" i="2" s="1"/>
  <c r="W27" i="2" s="1"/>
  <c r="V21" i="2"/>
  <c r="V22" i="2" s="1"/>
  <c r="V27" i="2" s="1"/>
  <c r="V31" i="2" s="1"/>
  <c r="L72" i="2" l="1"/>
  <c r="L88" i="2" s="1"/>
  <c r="L93" i="2" s="1"/>
  <c r="L44" i="2"/>
  <c r="M29" i="2" s="1"/>
  <c r="M30" i="2" s="1"/>
  <c r="L34" i="2"/>
  <c r="V29" i="2"/>
  <c r="V30" i="2" s="1"/>
  <c r="V32" i="2" s="1"/>
  <c r="W31" i="2"/>
  <c r="X31" i="2"/>
  <c r="Y31" i="2"/>
  <c r="M31" i="2" l="1"/>
  <c r="M32" i="2" s="1"/>
  <c r="V72" i="2"/>
  <c r="V88" i="2" s="1"/>
  <c r="V93" i="2" s="1"/>
  <c r="V41" i="2"/>
  <c r="V34" i="2"/>
  <c r="V44" i="2"/>
  <c r="M72" i="2" l="1"/>
  <c r="M88" i="2" s="1"/>
  <c r="M93" i="2" s="1"/>
  <c r="M44" i="2"/>
  <c r="N29" i="2" s="1"/>
  <c r="N30" i="2" s="1"/>
  <c r="M34" i="2"/>
  <c r="W29" i="2"/>
  <c r="W30" i="2" s="1"/>
  <c r="W32" i="2" s="1"/>
  <c r="N31" i="2" l="1"/>
  <c r="N32" i="2" s="1"/>
  <c r="W72" i="2"/>
  <c r="W88" i="2" s="1"/>
  <c r="W93" i="2" s="1"/>
  <c r="W41" i="2"/>
  <c r="W44" i="2"/>
  <c r="X29" i="2" s="1"/>
  <c r="X30" i="2" s="1"/>
  <c r="X32" i="2" s="1"/>
  <c r="X72" i="2" s="1"/>
  <c r="X88" i="2" s="1"/>
  <c r="X93" i="2" s="1"/>
  <c r="W34" i="2"/>
  <c r="N72" i="2" l="1"/>
  <c r="N88" i="2" s="1"/>
  <c r="N93" i="2" s="1"/>
  <c r="N44" i="2"/>
  <c r="N34" i="2"/>
  <c r="X41" i="2"/>
  <c r="X34" i="2"/>
  <c r="X44" i="2"/>
  <c r="Y29" i="2" l="1"/>
  <c r="Y30" i="2" s="1"/>
  <c r="Y32" i="2" s="1"/>
  <c r="Y72" i="2" l="1"/>
  <c r="Y88" i="2" s="1"/>
  <c r="Y93" i="2" s="1"/>
  <c r="Y34" i="2"/>
  <c r="Y44" i="2"/>
  <c r="Z29" i="2" l="1"/>
  <c r="Z30" i="2" s="1"/>
  <c r="Z32" i="2" s="1"/>
  <c r="Y41" i="2"/>
  <c r="Z44" i="2" l="1"/>
  <c r="Z72" i="2"/>
  <c r="Z88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AA32" i="2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Z34" i="2"/>
  <c r="AC38" i="2" l="1"/>
  <c r="AC39" i="2" s="1"/>
  <c r="AC40" i="2" s="1"/>
  <c r="Z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13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J20" authorId="3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33" authorId="4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38" authorId="5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92" authorId="6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<sst xmlns="http://schemas.openxmlformats.org/spreadsheetml/2006/main" count="126" uniqueCount="112">
  <si>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</si>
  <si>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</si>
  <si>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</si>
  <si>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</si>
  <si>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</si>
  <si>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</si>
  <si>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</si>
  <si>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</si>
  <si>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</si>
  <si>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</si>
  <si>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</si>
  <si>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</si>
  <si>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</si>
  <si>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</si>
  <si>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</si>
  <si>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</si>
  <si>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</si>
  <si>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</si>
  <si>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</si>
  <si>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</si>
  <si>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</si>
  <si>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</si>
  <si>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</si>
  <si>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</si>
  <si>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</si>
  <si>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</si>
  <si>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</si>
  <si>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</si>
  <si>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</si>
  <si>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</si>
  <si>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</si>
  <si>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</si>
  <si>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</si>
  <si>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</si>
  <si>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</si>
  <si>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</si>
  <si>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</si>
  <si>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</si>
  <si>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</si>
  <si>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</si>
  <si>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</si>
  <si>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</si>
  <si>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</si>
  <si>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</si>
  <si>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</si>
  <si>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</si>
  <si>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</si>
  <si>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</si>
  <si>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</si>
  <si>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</si>
  <si>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</si>
  <si>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</si>
  <si>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Prepaid Expenses</t>
  </si>
  <si>
    <t>PP&amp;E</t>
  </si>
  <si>
    <t>DIT</t>
  </si>
  <si>
    <t>Other Assets</t>
  </si>
  <si>
    <t>Assets</t>
  </si>
  <si>
    <t>AP</t>
  </si>
  <si>
    <t>Accrued Liabilities</t>
  </si>
  <si>
    <t>ITP</t>
  </si>
  <si>
    <t>LOC &amp; Current Portion of Loans</t>
  </si>
  <si>
    <t>Deferred Revenue</t>
  </si>
  <si>
    <t>ST Deferred Revenue</t>
  </si>
  <si>
    <t>ST ITP</t>
  </si>
  <si>
    <t>LT Deferred Revenue</t>
  </si>
  <si>
    <t>Term Loans</t>
  </si>
  <si>
    <t>Converts</t>
  </si>
  <si>
    <t>Other LT Liabilities</t>
  </si>
  <si>
    <t>Liabilities</t>
  </si>
  <si>
    <t>SE</t>
  </si>
  <si>
    <t>L+SE</t>
  </si>
  <si>
    <t>DSO</t>
  </si>
  <si>
    <t>Model NI</t>
  </si>
  <si>
    <t>Reported NI</t>
  </si>
  <si>
    <t>D&amp;A</t>
  </si>
  <si>
    <t>SB Comp</t>
  </si>
  <si>
    <t>Loss from Equity Investee</t>
  </si>
  <si>
    <t>Other</t>
  </si>
  <si>
    <t>Accrued Liabilties</t>
  </si>
  <si>
    <t>PP&amp;E Purchases</t>
  </si>
  <si>
    <t>Investment in Equity</t>
  </si>
  <si>
    <t>Acquisition</t>
  </si>
  <si>
    <t>CAPEX</t>
  </si>
  <si>
    <t>UR Foreign Currency Exchange Gain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</si>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</sst>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3" fontId="4" fillId="0" borderId="0" xfId="1" applyNumberFormat="1" applyFont="1"/>
    <xf numFmtId="3" fontId="5" fillId="0" borderId="0" xfId="0" applyNumberFormat="1" applyFont="1"/>
    <xf numFmtId="9" fontId="5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0" fontId="5" fillId="0" borderId="0" xfId="0" applyFont="1"/>
    <xf numFmtId="0" fontId="2" fillId="0" borderId="0" xfId="0" applyFont="1"/>
    <xf numFmtId="3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/>
    <xf numFmtId="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8" fontId="1" fillId="0" borderId="0" xfId="0" applyNumberFormat="1" applyFont="1"/>
    <xf numFmtId="0" fontId="1" fillId="0" borderId="0" xfId="0" applyFont="1"/>
    <xf numFmtId="1" fontId="1" fillId="0" borderId="0" xfId="0" applyNumberFormat="1" applyFont="1" applyBorder="1"/>
    <xf numFmtId="3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104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5981700" y="19050"/>
          <a:ext cx="0" cy="156781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112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6" dT="2025-05-13T05:57:20.60" personId="{9FB83736-EE26-422E-AD1E-D65440F32024}" id="{07B89E43-8E64-4D6B-81D7-37BC3D9CEEE2}">
    <text>Majority of this capex from these companies is from cloud</text>
  </threadedComment>
  <threadedComment ref="V7" dT="2025-05-13T05:48:53.30" personId="{9FB83736-EE26-422E-AD1E-D65440F32024}" id="{B928ADE7-8211-4D2F-BD8C-79ED22DF99E4}">
    <text>“googl forecast for their FY25” mainly cloud capex</text>
  </threadedComment>
  <threadedComment ref="I13" dT="2025-05-13T06:01:58.85" personId="{9FB83736-EE26-422E-AD1E-D65440F32024}" id="{45B433DF-6A70-443F-BD0E-B05A27CEBFAA}">
    <text>Outlier, mostly sold old inventory this quarter</text>
  </threadedComment>
  <threadedComment ref="I13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J20" dT="2025-05-13T04:58:19.64" personId="{9FB83736-EE26-422E-AD1E-D65440F32024}" id="{DEC1EFA7-08CE-407F-80BC-3BD72A054B95}">
    <text xml:space="preserve">“Q4 Rev at least 6b”
</text>
  </threadedComment>
  <threadedComment ref="J33" dT="2025-05-13T05:05:22.48" personId="{9FB83736-EE26-422E-AD1E-D65440F32024}" id="{518D6400-4738-48D4-8A7C-6A58D2E68831}">
    <text>“diluted share count”</text>
  </threadedComment>
  <threadedComment ref="J38" dT="2025-05-13T05:05:00.83" personId="{9FB83736-EE26-422E-AD1E-D65440F32024}" id="{F447A70C-BFD1-47B1-8F98-8C7CAE49EF2E}">
    <text>“expect 14.9% GAAP tax rate”</text>
  </threadedComment>
  <threadedComment ref="J92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20"/>
  <sheetViews>
    <sheetView topLeftCell="A6" zoomScale="205" zoomScaleNormal="205" workbookViewId="0">
      <selection activeCell="B21" sqref="B21"/>
    </sheetView>
  </sheetViews>
  <sheetFormatPr defaultRowHeight="14.25" x14ac:dyDescent="0.2"/>
  <cols>
    <col min="1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97</v>
      </c>
    </row>
    <row r="4" spans="1:10" x14ac:dyDescent="0.2">
      <c r="B4" s="16" t="s">
        <v>86</v>
      </c>
    </row>
    <row r="5" spans="1:10" x14ac:dyDescent="0.2">
      <c r="B5" s="7" t="s">
        <v>39</v>
      </c>
    </row>
    <row r="6" spans="1:10" x14ac:dyDescent="0.2">
      <c r="B6" s="16" t="s">
        <v>99</v>
      </c>
    </row>
    <row r="7" spans="1:10" x14ac:dyDescent="0.2">
      <c r="B7" s="16" t="s">
        <v>88</v>
      </c>
    </row>
    <row r="8" spans="1:10" x14ac:dyDescent="0.2">
      <c r="B8" s="16" t="s">
        <v>90</v>
      </c>
      <c r="E8" s="5"/>
    </row>
    <row r="9" spans="1:10" x14ac:dyDescent="0.2">
      <c r="B9" s="16" t="s">
        <v>94</v>
      </c>
    </row>
    <row r="10" spans="1:10" x14ac:dyDescent="0.2">
      <c r="B10" s="16" t="s">
        <v>95</v>
      </c>
      <c r="J10" s="5"/>
    </row>
    <row r="11" spans="1:10" x14ac:dyDescent="0.2">
      <c r="B11" s="16" t="s">
        <v>96</v>
      </c>
      <c r="J11" s="5"/>
    </row>
    <row r="12" spans="1:10" x14ac:dyDescent="0.2">
      <c r="B12" s="16" t="s">
        <v>98</v>
      </c>
      <c r="J12" s="5"/>
    </row>
    <row r="13" spans="1:10" x14ac:dyDescent="0.2">
      <c r="B13" s="16" t="s">
        <v>100</v>
      </c>
      <c r="E13" s="7" t="s">
        <v>1</v>
      </c>
      <c r="F13" s="4">
        <v>34</v>
      </c>
    </row>
    <row r="14" spans="1:10" x14ac:dyDescent="0.2">
      <c r="B14" s="16" t="s">
        <v>101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102</v>
      </c>
      <c r="E15" s="7" t="s">
        <v>3</v>
      </c>
      <c r="F15" s="4">
        <f>F14*F13</f>
        <v>20291.88</v>
      </c>
    </row>
    <row r="16" spans="1:10" x14ac:dyDescent="0.2">
      <c r="B16" s="16" t="s">
        <v>103</v>
      </c>
      <c r="E16" s="7" t="s">
        <v>4</v>
      </c>
      <c r="F16" s="4">
        <v>1430</v>
      </c>
      <c r="G16" s="16" t="s">
        <v>19</v>
      </c>
    </row>
    <row r="17" spans="2:7" x14ac:dyDescent="0.2">
      <c r="E17" s="7" t="s">
        <v>5</v>
      </c>
      <c r="F17" s="4">
        <f>1700+53+289</f>
        <v>2042</v>
      </c>
      <c r="G17" s="16" t="s">
        <v>19</v>
      </c>
    </row>
    <row r="18" spans="2:7" x14ac:dyDescent="0.2">
      <c r="E18" s="7" t="s">
        <v>6</v>
      </c>
      <c r="F18" s="4">
        <f>F15+F17-F16</f>
        <v>20903.88</v>
      </c>
    </row>
    <row r="20" spans="2:7" x14ac:dyDescent="0.2">
      <c r="B20" s="16" t="s">
        <v>111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93"/>
  <sheetViews>
    <sheetView tabSelected="1" zoomScaleNormal="100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9.85546875" style="8" bestFit="1" customWidth="1"/>
    <col min="22" max="22" width="10.85546875" style="8" customWidth="1"/>
    <col min="23" max="25" width="9.140625" style="8"/>
    <col min="26" max="26" width="11" style="8" customWidth="1"/>
    <col min="27" max="16384" width="9.140625" style="8"/>
  </cols>
  <sheetData>
    <row r="1" spans="1:26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</row>
    <row r="2" spans="1:26" x14ac:dyDescent="0.2">
      <c r="A2" s="1"/>
      <c r="B2" s="8" t="s">
        <v>91</v>
      </c>
      <c r="I2" s="13">
        <v>0.6</v>
      </c>
      <c r="P2" s="9"/>
      <c r="Q2" s="9"/>
      <c r="R2" s="9"/>
      <c r="S2" s="9"/>
      <c r="T2" s="9"/>
      <c r="U2" s="17"/>
      <c r="V2" s="9"/>
      <c r="W2" s="9"/>
      <c r="X2" s="9"/>
      <c r="Y2" s="9"/>
      <c r="Z2" s="9"/>
    </row>
    <row r="3" spans="1:26" x14ac:dyDescent="0.2">
      <c r="A3" s="1"/>
      <c r="B3" s="8" t="s">
        <v>92</v>
      </c>
      <c r="I3" s="13">
        <v>0.3</v>
      </c>
      <c r="P3" s="9"/>
      <c r="Q3" s="9"/>
      <c r="R3" s="9"/>
      <c r="S3" s="9"/>
      <c r="T3" s="9"/>
      <c r="U3" s="17"/>
      <c r="V3" s="9"/>
      <c r="W3" s="9"/>
      <c r="X3" s="9"/>
      <c r="Y3" s="9"/>
      <c r="Z3" s="9"/>
    </row>
    <row r="4" spans="1:26" x14ac:dyDescent="0.2">
      <c r="A4" s="1"/>
      <c r="B4" s="8" t="s">
        <v>93</v>
      </c>
      <c r="I4" s="13">
        <v>0.1</v>
      </c>
      <c r="P4" s="9"/>
      <c r="Q4" s="9"/>
      <c r="R4" s="9"/>
      <c r="S4" s="9"/>
      <c r="T4" s="9"/>
      <c r="U4" s="17"/>
      <c r="V4" s="9"/>
      <c r="W4" s="9"/>
      <c r="X4" s="9"/>
      <c r="Y4" s="9"/>
      <c r="Z4" s="9"/>
    </row>
    <row r="5" spans="1:26" x14ac:dyDescent="0.2">
      <c r="A5" s="1"/>
      <c r="I5" s="13"/>
      <c r="P5" s="9"/>
      <c r="Q5" s="9"/>
      <c r="R5" s="9"/>
      <c r="S5" s="9"/>
      <c r="T5" s="9"/>
      <c r="U5" s="17"/>
      <c r="V5" s="9"/>
      <c r="W5" s="9"/>
      <c r="X5" s="9"/>
      <c r="Y5" s="9"/>
      <c r="Z5" s="9"/>
    </row>
    <row r="6" spans="1:26" x14ac:dyDescent="0.2">
      <c r="A6" s="1"/>
      <c r="B6" s="8" t="s">
        <v>104</v>
      </c>
      <c r="I6" s="13"/>
      <c r="P6" s="9"/>
      <c r="Q6" s="9"/>
      <c r="R6" s="9"/>
      <c r="S6" s="9"/>
      <c r="T6" s="9"/>
      <c r="U6" s="17"/>
      <c r="V6" s="8">
        <f>SUM(V7:V10)</f>
        <v>271000</v>
      </c>
      <c r="W6" s="8">
        <f t="shared" ref="W6:Z6" si="1">SUM(W7:W10)</f>
        <v>284550</v>
      </c>
      <c r="X6" s="8">
        <f t="shared" si="1"/>
        <v>298777.5</v>
      </c>
      <c r="Y6" s="8">
        <f t="shared" si="1"/>
        <v>313716.375</v>
      </c>
      <c r="Z6" s="8">
        <f t="shared" si="1"/>
        <v>329402.19374999998</v>
      </c>
    </row>
    <row r="7" spans="1:26" x14ac:dyDescent="0.2">
      <c r="A7" s="1"/>
      <c r="B7" s="8" t="s">
        <v>109</v>
      </c>
      <c r="U7" s="18"/>
      <c r="V7" s="8">
        <v>75000</v>
      </c>
      <c r="W7" s="8">
        <f>V7*1.05</f>
        <v>78750</v>
      </c>
      <c r="X7" s="8">
        <f t="shared" ref="X7:Z7" si="2">W7*1.05</f>
        <v>82687.5</v>
      </c>
      <c r="Y7" s="8">
        <f t="shared" si="2"/>
        <v>86821.875</v>
      </c>
      <c r="Z7" s="8">
        <f t="shared" si="2"/>
        <v>91162.96875</v>
      </c>
    </row>
    <row r="8" spans="1:26" x14ac:dyDescent="0.2">
      <c r="A8" s="1"/>
      <c r="B8" s="8" t="s">
        <v>108</v>
      </c>
      <c r="U8" s="18"/>
      <c r="V8" s="8">
        <v>80000</v>
      </c>
      <c r="W8" s="8">
        <f t="shared" ref="W8:Z10" si="3">V8*1.05</f>
        <v>84000</v>
      </c>
      <c r="X8" s="8">
        <f t="shared" si="3"/>
        <v>88200</v>
      </c>
      <c r="Y8" s="8">
        <f t="shared" si="3"/>
        <v>92610</v>
      </c>
      <c r="Z8" s="8">
        <f t="shared" si="3"/>
        <v>97240.5</v>
      </c>
    </row>
    <row r="9" spans="1:26" x14ac:dyDescent="0.2">
      <c r="A9" s="1"/>
      <c r="B9" s="8" t="s">
        <v>107</v>
      </c>
      <c r="U9" s="18"/>
      <c r="V9" s="8">
        <v>100000</v>
      </c>
      <c r="W9" s="8">
        <f t="shared" si="3"/>
        <v>105000</v>
      </c>
      <c r="X9" s="8">
        <f t="shared" si="3"/>
        <v>110250</v>
      </c>
      <c r="Y9" s="8">
        <f t="shared" si="3"/>
        <v>115762.5</v>
      </c>
      <c r="Z9" s="8">
        <f t="shared" si="3"/>
        <v>121550.625</v>
      </c>
    </row>
    <row r="10" spans="1:26" x14ac:dyDescent="0.2">
      <c r="A10" s="1"/>
      <c r="B10" s="8" t="s">
        <v>106</v>
      </c>
      <c r="U10" s="18"/>
      <c r="V10" s="8">
        <v>16000</v>
      </c>
      <c r="W10" s="8">
        <f t="shared" si="3"/>
        <v>16800</v>
      </c>
      <c r="X10" s="8">
        <f t="shared" si="3"/>
        <v>17640</v>
      </c>
      <c r="Y10" s="8">
        <f t="shared" si="3"/>
        <v>18522</v>
      </c>
      <c r="Z10" s="8">
        <f t="shared" si="3"/>
        <v>19448.100000000002</v>
      </c>
    </row>
    <row r="11" spans="1:26" x14ac:dyDescent="0.2">
      <c r="A11" s="1"/>
      <c r="B11" s="8" t="s">
        <v>105</v>
      </c>
      <c r="S11" s="13" t="e">
        <f>S20/S6</f>
        <v>#DIV/0!</v>
      </c>
      <c r="T11" s="13" t="e">
        <f>T20/T6</f>
        <v>#DIV/0!</v>
      </c>
      <c r="U11" s="13" t="e">
        <f>U20/U6</f>
        <v>#DIV/0!</v>
      </c>
      <c r="V11" s="13">
        <f>V20/V6</f>
        <v>0.11070110701107011</v>
      </c>
      <c r="W11" s="13">
        <f t="shared" ref="W11:Z11" si="4">W20/W6</f>
        <v>0.12229836584080127</v>
      </c>
      <c r="X11" s="13">
        <f t="shared" si="4"/>
        <v>0.13511057559555187</v>
      </c>
      <c r="Y11" s="13">
        <f t="shared" si="4"/>
        <v>0.1492650168484192</v>
      </c>
      <c r="Z11" s="13">
        <f t="shared" si="4"/>
        <v>0.16490230432777742</v>
      </c>
    </row>
    <row r="12" spans="1:26" x14ac:dyDescent="0.2">
      <c r="A12" s="1"/>
      <c r="U12" s="18"/>
    </row>
    <row r="13" spans="1:26" x14ac:dyDescent="0.2">
      <c r="A13" s="1"/>
      <c r="B13" s="8" t="s">
        <v>110</v>
      </c>
      <c r="I13" s="13">
        <f>I20/I15</f>
        <v>0.40350877192982454</v>
      </c>
      <c r="T13" s="13">
        <f>T20/T14</f>
        <v>0.11530153846153847</v>
      </c>
      <c r="U13" s="13">
        <f>U20/U14</f>
        <v>0.12752583237657864</v>
      </c>
      <c r="V13" s="13">
        <f t="shared" ref="V13:Z13" si="5">V20/V14</f>
        <v>0.13247372604433455</v>
      </c>
      <c r="W13" s="13">
        <f t="shared" si="5"/>
        <v>0.11820732477802159</v>
      </c>
      <c r="X13" s="13">
        <f t="shared" si="5"/>
        <v>0.10547730518654233</v>
      </c>
      <c r="Y13" s="13">
        <f t="shared" si="5"/>
        <v>9.4118210781837769E-2</v>
      </c>
      <c r="Z13" s="13">
        <f t="shared" si="5"/>
        <v>8.3982403466870623E-2</v>
      </c>
    </row>
    <row r="14" spans="1:26" x14ac:dyDescent="0.2">
      <c r="A14" s="1"/>
      <c r="B14" s="8" t="s">
        <v>84</v>
      </c>
      <c r="I14" s="13"/>
      <c r="T14" s="8">
        <v>130000</v>
      </c>
      <c r="U14" s="8">
        <f>T14*1.34</f>
        <v>174200</v>
      </c>
      <c r="V14" s="8">
        <f>U14*1.3</f>
        <v>226460</v>
      </c>
      <c r="W14" s="8">
        <f t="shared" ref="W14:Z14" si="6">V14*1.3</f>
        <v>294398</v>
      </c>
      <c r="X14" s="8">
        <f t="shared" si="6"/>
        <v>382717.4</v>
      </c>
      <c r="Y14" s="8">
        <f t="shared" si="6"/>
        <v>497532.62000000005</v>
      </c>
      <c r="Z14" s="8">
        <f t="shared" si="6"/>
        <v>646792.40600000008</v>
      </c>
    </row>
    <row r="15" spans="1:26" x14ac:dyDescent="0.2">
      <c r="A15" s="1"/>
      <c r="B15" s="8" t="s">
        <v>85</v>
      </c>
      <c r="I15" s="8">
        <v>11400</v>
      </c>
      <c r="U15" s="18"/>
    </row>
    <row r="16" spans="1:26" x14ac:dyDescent="0.2">
      <c r="A16" s="1"/>
      <c r="B16" s="8" t="s">
        <v>87</v>
      </c>
      <c r="U16" s="18"/>
    </row>
    <row r="17" spans="1:92" x14ac:dyDescent="0.2">
      <c r="A17" s="1"/>
      <c r="P17" s="9"/>
      <c r="Q17" s="9"/>
      <c r="R17" s="9"/>
      <c r="S17" s="9"/>
      <c r="T17" s="9"/>
      <c r="U17" s="17"/>
      <c r="V17" s="9"/>
      <c r="W17" s="9"/>
      <c r="X17" s="9"/>
      <c r="Y17" s="9"/>
      <c r="Z17" s="9"/>
    </row>
    <row r="18" spans="1:92" x14ac:dyDescent="0.2">
      <c r="A18" s="1"/>
      <c r="B18" s="8" t="s">
        <v>89</v>
      </c>
      <c r="E18" s="8">
        <f>I18*0.97</f>
        <v>1843</v>
      </c>
      <c r="H18" s="8">
        <f>H20*0.25</f>
        <v>1419.5</v>
      </c>
      <c r="I18" s="8">
        <v>1900</v>
      </c>
      <c r="P18" s="9"/>
      <c r="Q18" s="9"/>
      <c r="R18" s="9"/>
      <c r="S18" s="9"/>
      <c r="T18" s="9"/>
      <c r="U18" s="17"/>
      <c r="V18" s="9"/>
      <c r="W18" s="9"/>
      <c r="X18" s="9"/>
      <c r="Y18" s="9"/>
      <c r="Z18" s="9"/>
    </row>
    <row r="19" spans="1:92" x14ac:dyDescent="0.2">
      <c r="A19" s="1"/>
      <c r="I19" s="13"/>
      <c r="P19" s="9"/>
      <c r="Q19" s="9"/>
      <c r="R19" s="9"/>
      <c r="S19" s="9"/>
      <c r="T19" s="9"/>
      <c r="U19" s="17"/>
      <c r="V19" s="9"/>
      <c r="W19" s="9"/>
      <c r="X19" s="9"/>
      <c r="Y19" s="9"/>
      <c r="Z19" s="9"/>
    </row>
    <row r="20" spans="1:92" s="2" customFormat="1" ht="15" x14ac:dyDescent="0.25">
      <c r="B20" s="2" t="s">
        <v>7</v>
      </c>
      <c r="G20" s="2">
        <v>5937</v>
      </c>
      <c r="H20" s="2">
        <v>5678</v>
      </c>
      <c r="I20" s="2">
        <v>4600</v>
      </c>
      <c r="J20" s="2">
        <v>6000</v>
      </c>
      <c r="K20" s="2">
        <f>J20*1.2</f>
        <v>7200</v>
      </c>
      <c r="L20" s="2">
        <f>K20*1.03</f>
        <v>7416</v>
      </c>
      <c r="M20" s="2">
        <f>L20*1.03</f>
        <v>7638.4800000000005</v>
      </c>
      <c r="N20" s="2">
        <f>M20*1.4</f>
        <v>10693.871999999999</v>
      </c>
      <c r="O20" s="2">
        <f>SUM(K20:N20)</f>
        <v>32948.351999999999</v>
      </c>
      <c r="S20" s="2">
        <v>7123.4</v>
      </c>
      <c r="T20" s="2">
        <v>14989.2</v>
      </c>
      <c r="U20" s="2">
        <f>SUM(G20:J20)</f>
        <v>22215</v>
      </c>
      <c r="V20" s="2">
        <v>30000</v>
      </c>
      <c r="W20" s="2">
        <f>V20*1.16</f>
        <v>34800</v>
      </c>
      <c r="X20" s="2">
        <f t="shared" ref="X20:Z20" si="7">W20*1.16</f>
        <v>40368</v>
      </c>
      <c r="Y20" s="2">
        <f t="shared" si="7"/>
        <v>46826.879999999997</v>
      </c>
      <c r="Z20" s="2">
        <f t="shared" si="7"/>
        <v>54319.180799999995</v>
      </c>
      <c r="AA20" s="8"/>
    </row>
    <row r="21" spans="1:92" x14ac:dyDescent="0.2">
      <c r="B21" s="8" t="s">
        <v>21</v>
      </c>
      <c r="G21" s="8">
        <v>5161.6000000000004</v>
      </c>
      <c r="H21" s="8">
        <v>5007.8999999999996</v>
      </c>
      <c r="I21" s="8">
        <v>4159</v>
      </c>
      <c r="J21" s="8">
        <f t="shared" ref="J21:L21" si="8">J20*(1-J40)</f>
        <v>5280</v>
      </c>
      <c r="K21" s="8">
        <f t="shared" si="8"/>
        <v>6336</v>
      </c>
      <c r="L21" s="8">
        <f t="shared" si="8"/>
        <v>6526.08</v>
      </c>
      <c r="M21" s="8">
        <f t="shared" ref="M21:N21" si="9">M20*(1-M40)</f>
        <v>6721.8624000000009</v>
      </c>
      <c r="N21" s="8">
        <f t="shared" si="9"/>
        <v>9410.60736</v>
      </c>
      <c r="S21" s="8">
        <v>5840.4</v>
      </c>
      <c r="T21" s="8">
        <v>12927.8</v>
      </c>
      <c r="U21" s="8">
        <f>SUM(G21:J21)</f>
        <v>19608.5</v>
      </c>
      <c r="V21" s="8">
        <f t="shared" ref="V21:Y21" si="10">V20*(1-V40)</f>
        <v>26400</v>
      </c>
      <c r="W21" s="8">
        <f t="shared" si="10"/>
        <v>30624</v>
      </c>
      <c r="X21" s="8">
        <f t="shared" si="10"/>
        <v>35523.840000000004</v>
      </c>
      <c r="Y21" s="8">
        <f t="shared" si="10"/>
        <v>41207.654399999999</v>
      </c>
      <c r="Z21" s="8">
        <f t="shared" ref="Z21" si="11">Z20*(1-Z40)</f>
        <v>47800.879103999992</v>
      </c>
    </row>
    <row r="22" spans="1:92" x14ac:dyDescent="0.2">
      <c r="B22" s="8" t="s">
        <v>22</v>
      </c>
      <c r="G22" s="8">
        <f>G20-G21</f>
        <v>775.39999999999964</v>
      </c>
      <c r="H22" s="8">
        <f>H20-H21</f>
        <v>670.10000000000036</v>
      </c>
      <c r="I22" s="8">
        <f t="shared" ref="I22:L22" si="12">I20-I21</f>
        <v>441</v>
      </c>
      <c r="J22" s="8">
        <f t="shared" si="12"/>
        <v>720</v>
      </c>
      <c r="K22" s="8">
        <f t="shared" si="12"/>
        <v>864</v>
      </c>
      <c r="L22" s="8">
        <f t="shared" si="12"/>
        <v>889.92000000000007</v>
      </c>
      <c r="M22" s="8">
        <f t="shared" ref="M22:N22" si="13">M20-M21</f>
        <v>916.61759999999958</v>
      </c>
      <c r="N22" s="8">
        <f t="shared" si="13"/>
        <v>1283.2646399999994</v>
      </c>
      <c r="P22" s="8">
        <f t="shared" ref="P22:R22" si="14">P20-P21</f>
        <v>0</v>
      </c>
      <c r="Q22" s="8">
        <f t="shared" si="14"/>
        <v>0</v>
      </c>
      <c r="R22" s="8">
        <f t="shared" si="14"/>
        <v>0</v>
      </c>
      <c r="S22" s="8">
        <f t="shared" ref="S22:T22" si="15">S20-S21</f>
        <v>1283</v>
      </c>
      <c r="T22" s="8">
        <f t="shared" si="15"/>
        <v>2061.4000000000015</v>
      </c>
      <c r="U22" s="8">
        <f t="shared" ref="U22:V22" si="16">U20-U21</f>
        <v>2606.5</v>
      </c>
      <c r="V22" s="8">
        <f t="shared" si="16"/>
        <v>3600</v>
      </c>
      <c r="W22" s="8">
        <f t="shared" ref="W22" si="17">W20-W21</f>
        <v>4176</v>
      </c>
      <c r="X22" s="8">
        <f t="shared" ref="X22" si="18">X20-X21</f>
        <v>4844.1599999999962</v>
      </c>
      <c r="Y22" s="8">
        <f t="shared" ref="Y22:Z22" si="19">Y20-Y21</f>
        <v>5619.2255999999979</v>
      </c>
      <c r="Z22" s="8">
        <f t="shared" si="19"/>
        <v>6518.3016960000023</v>
      </c>
    </row>
    <row r="23" spans="1:92" x14ac:dyDescent="0.2">
      <c r="B23" s="8" t="s">
        <v>11</v>
      </c>
      <c r="G23" s="8">
        <v>132.19999999999999</v>
      </c>
      <c r="H23" s="8">
        <v>158.19999999999999</v>
      </c>
      <c r="I23" s="8">
        <v>162.9</v>
      </c>
      <c r="J23" s="8">
        <f>I23*(1+J37)</f>
        <v>212.47826086956522</v>
      </c>
      <c r="K23" s="8">
        <f t="shared" ref="K23:L23" si="20">J23*1.01</f>
        <v>214.60304347826087</v>
      </c>
      <c r="L23" s="8">
        <f t="shared" si="20"/>
        <v>216.74907391304347</v>
      </c>
      <c r="M23" s="8">
        <f t="shared" ref="M23" si="21">L23*1.01</f>
        <v>218.91656465217392</v>
      </c>
      <c r="N23" s="8">
        <f t="shared" ref="N23" si="22">M23*1.01</f>
        <v>221.10573029869565</v>
      </c>
      <c r="S23" s="8">
        <v>307.26</v>
      </c>
      <c r="T23" s="8">
        <v>463.5</v>
      </c>
      <c r="U23" s="8">
        <f>SUM(G23:J23)</f>
        <v>665.7782608695652</v>
      </c>
      <c r="V23" s="8">
        <f t="shared" ref="V23:Z23" si="23">U23*(1+V36)</f>
        <v>899.09285735255264</v>
      </c>
      <c r="W23" s="8">
        <f t="shared" si="23"/>
        <v>1042.9477145289609</v>
      </c>
      <c r="X23" s="8">
        <f t="shared" si="23"/>
        <v>1209.8193488535946</v>
      </c>
      <c r="Y23" s="8">
        <f t="shared" si="23"/>
        <v>1403.3904446701697</v>
      </c>
      <c r="Z23" s="8">
        <f t="shared" si="23"/>
        <v>1627.9329158173966</v>
      </c>
    </row>
    <row r="24" spans="1:92" x14ac:dyDescent="0.2">
      <c r="B24" s="8" t="s">
        <v>24</v>
      </c>
      <c r="G24" s="8">
        <v>68.8</v>
      </c>
      <c r="H24" s="8">
        <v>79.5</v>
      </c>
      <c r="I24" s="8">
        <v>60</v>
      </c>
      <c r="J24" s="8">
        <f t="shared" ref="J24:L24" si="24">I24*(1+J37)</f>
        <v>78.260869565217391</v>
      </c>
      <c r="K24" s="8">
        <f t="shared" si="24"/>
        <v>93.91304347826086</v>
      </c>
      <c r="L24" s="8">
        <f t="shared" si="24"/>
        <v>96.730434782608683</v>
      </c>
      <c r="M24" s="8">
        <f t="shared" ref="M24" si="25">L24*(1+M37)</f>
        <v>99.632347826086942</v>
      </c>
      <c r="N24" s="8">
        <f t="shared" ref="N24" si="26">M24*(1+N37)</f>
        <v>139.48528695652172</v>
      </c>
      <c r="S24" s="8">
        <v>115</v>
      </c>
      <c r="T24" s="8">
        <v>189.7</v>
      </c>
      <c r="U24" s="8">
        <f>SUM(G24:J24)</f>
        <v>286.56086956521739</v>
      </c>
      <c r="V24" s="8">
        <f t="shared" ref="V24:Z24" si="27">U24*(1+V36)</f>
        <v>386.98294336963863</v>
      </c>
      <c r="W24" s="8">
        <f t="shared" si="27"/>
        <v>448.90021430878079</v>
      </c>
      <c r="X24" s="8">
        <f t="shared" si="27"/>
        <v>520.72424859818568</v>
      </c>
      <c r="Y24" s="8">
        <f t="shared" si="27"/>
        <v>604.0401283738953</v>
      </c>
      <c r="Z24" s="8">
        <f t="shared" si="27"/>
        <v>700.68654891371853</v>
      </c>
    </row>
    <row r="25" spans="1:92" x14ac:dyDescent="0.2">
      <c r="B25" s="8" t="s">
        <v>25</v>
      </c>
      <c r="G25" s="8">
        <v>65.2</v>
      </c>
      <c r="H25" s="8">
        <v>63.6</v>
      </c>
      <c r="I25" s="8">
        <v>70.599999999999994</v>
      </c>
      <c r="J25" s="8">
        <f t="shared" ref="J25:L25" si="28">I25*(1+J37)</f>
        <v>92.086956521739125</v>
      </c>
      <c r="K25" s="8">
        <f t="shared" si="28"/>
        <v>110.50434782608694</v>
      </c>
      <c r="L25" s="8">
        <f t="shared" si="28"/>
        <v>113.81947826086956</v>
      </c>
      <c r="M25" s="8">
        <f t="shared" ref="M25" si="29">L25*(1+M37)</f>
        <v>117.23406260869565</v>
      </c>
      <c r="N25" s="8">
        <f t="shared" ref="N25" si="30">M25*(1+N37)</f>
        <v>164.1276876521739</v>
      </c>
      <c r="S25" s="8">
        <v>99.5</v>
      </c>
      <c r="T25" s="8">
        <v>197.3</v>
      </c>
      <c r="U25" s="8">
        <f>SUM(G25:J25)</f>
        <v>291.4869565217391</v>
      </c>
      <c r="V25" s="8">
        <f t="shared" ref="V25:Z25" si="31">U25*(1+V36)</f>
        <v>393.63532278425271</v>
      </c>
      <c r="W25" s="8">
        <f t="shared" si="31"/>
        <v>456.61697442973309</v>
      </c>
      <c r="X25" s="8">
        <f t="shared" si="31"/>
        <v>529.67569033849031</v>
      </c>
      <c r="Y25" s="8">
        <f t="shared" si="31"/>
        <v>614.42380079264876</v>
      </c>
      <c r="Z25" s="8">
        <f t="shared" si="31"/>
        <v>712.73160891947248</v>
      </c>
    </row>
    <row r="26" spans="1:92" x14ac:dyDescent="0.2">
      <c r="B26" s="8" t="s">
        <v>26</v>
      </c>
      <c r="G26" s="8">
        <f>SUM(G23:G25)</f>
        <v>266.2</v>
      </c>
      <c r="H26" s="8">
        <f>SUM(H23:H25)</f>
        <v>301.3</v>
      </c>
      <c r="I26" s="8">
        <f t="shared" ref="I26:L26" si="32">SUM(I23:I25)</f>
        <v>293.5</v>
      </c>
      <c r="J26" s="8">
        <f t="shared" si="32"/>
        <v>382.82608695652175</v>
      </c>
      <c r="K26" s="8">
        <f t="shared" si="32"/>
        <v>419.02043478260867</v>
      </c>
      <c r="L26" s="8">
        <f t="shared" si="32"/>
        <v>427.29898695652173</v>
      </c>
      <c r="M26" s="8">
        <f t="shared" ref="M26:N26" si="33">SUM(M23:M25)</f>
        <v>435.78297508695647</v>
      </c>
      <c r="N26" s="8">
        <f t="shared" si="33"/>
        <v>524.71870490739127</v>
      </c>
      <c r="P26" s="8">
        <f t="shared" ref="P26:R26" si="34">SUM(P23:P25)</f>
        <v>0</v>
      </c>
      <c r="Q26" s="8">
        <f t="shared" si="34"/>
        <v>0</v>
      </c>
      <c r="R26" s="8">
        <f t="shared" si="34"/>
        <v>0</v>
      </c>
      <c r="S26" s="8">
        <f t="shared" ref="S26:T26" si="35">SUM(S23:S25)</f>
        <v>521.76</v>
      </c>
      <c r="T26" s="8">
        <f t="shared" si="35"/>
        <v>850.5</v>
      </c>
      <c r="U26" s="8">
        <f t="shared" ref="U26:Y26" si="36">SUM(U23:U25)</f>
        <v>1243.8260869565217</v>
      </c>
      <c r="V26" s="8">
        <f t="shared" si="36"/>
        <v>1679.711123506444</v>
      </c>
      <c r="W26" s="8">
        <f t="shared" si="36"/>
        <v>1948.4649032674747</v>
      </c>
      <c r="X26" s="8">
        <f t="shared" si="36"/>
        <v>2260.2192877902708</v>
      </c>
      <c r="Y26" s="8">
        <f t="shared" si="36"/>
        <v>2621.8543738367139</v>
      </c>
      <c r="Z26" s="8">
        <f t="shared" ref="Z26" si="37">SUM(Z23:Z25)</f>
        <v>3041.3510736505873</v>
      </c>
    </row>
    <row r="27" spans="1:92" s="2" customFormat="1" ht="15" x14ac:dyDescent="0.25">
      <c r="B27" s="2" t="s">
        <v>27</v>
      </c>
      <c r="G27" s="2">
        <f>G22-G26</f>
        <v>509.19999999999965</v>
      </c>
      <c r="H27" s="2">
        <f>H22-H26</f>
        <v>368.80000000000035</v>
      </c>
      <c r="I27" s="2">
        <f t="shared" ref="I27:L27" si="38">I22-I26</f>
        <v>147.5</v>
      </c>
      <c r="J27" s="2">
        <f t="shared" si="38"/>
        <v>337.17391304347825</v>
      </c>
      <c r="K27" s="2">
        <f t="shared" si="38"/>
        <v>444.97956521739133</v>
      </c>
      <c r="L27" s="2">
        <f t="shared" si="38"/>
        <v>462.62101304347834</v>
      </c>
      <c r="M27" s="2">
        <f t="shared" ref="M27:N27" si="39">M22-M26</f>
        <v>480.83462491304311</v>
      </c>
      <c r="N27" s="2">
        <f t="shared" si="39"/>
        <v>758.54593509260815</v>
      </c>
      <c r="P27" s="2">
        <f t="shared" ref="P27:R27" si="40">P22-P26</f>
        <v>0</v>
      </c>
      <c r="Q27" s="2">
        <f t="shared" si="40"/>
        <v>0</v>
      </c>
      <c r="R27" s="2">
        <f t="shared" si="40"/>
        <v>0</v>
      </c>
      <c r="S27" s="2">
        <f t="shared" ref="S27:T27" si="41">S22-S26</f>
        <v>761.24</v>
      </c>
      <c r="T27" s="2">
        <f t="shared" si="41"/>
        <v>1210.9000000000015</v>
      </c>
      <c r="U27" s="2">
        <f t="shared" ref="U27:V27" si="42">U22-U26</f>
        <v>1362.6739130434783</v>
      </c>
      <c r="V27" s="2">
        <f t="shared" si="42"/>
        <v>1920.288876493556</v>
      </c>
      <c r="W27" s="2">
        <f t="shared" ref="W27" si="43">W22-W26</f>
        <v>2227.5350967325253</v>
      </c>
      <c r="X27" s="2">
        <f t="shared" ref="X27" si="44">X22-X26</f>
        <v>2583.9407122097255</v>
      </c>
      <c r="Y27" s="2">
        <f t="shared" ref="Y27:Z27" si="45">Y22-Y26</f>
        <v>2997.3712261632841</v>
      </c>
      <c r="Z27" s="2">
        <f t="shared" si="45"/>
        <v>3476.950622349415</v>
      </c>
    </row>
    <row r="28" spans="1:92" x14ac:dyDescent="0.2">
      <c r="B28" s="8" t="s">
        <v>32</v>
      </c>
      <c r="G28" s="8">
        <v>7.2</v>
      </c>
      <c r="H28" s="8">
        <v>12.9</v>
      </c>
      <c r="I28" s="8">
        <v>-18.3</v>
      </c>
      <c r="T28" s="8">
        <v>22.7</v>
      </c>
      <c r="U28" s="8">
        <f>SUM(G28:J28)</f>
        <v>1.8000000000000007</v>
      </c>
    </row>
    <row r="29" spans="1:92" x14ac:dyDescent="0.2">
      <c r="B29" s="8" t="s">
        <v>28</v>
      </c>
      <c r="G29" s="8">
        <v>-17.3</v>
      </c>
      <c r="H29" s="8">
        <v>-6.5</v>
      </c>
      <c r="I29" s="8">
        <v>-13.4</v>
      </c>
      <c r="J29" s="8">
        <f>I44*$AC$35/4</f>
        <v>-1.2270000000000028</v>
      </c>
      <c r="K29" s="8">
        <f>J44*$AC$35/4</f>
        <v>3.0563231413043455</v>
      </c>
      <c r="L29" s="8">
        <f>K44*$AC$35/4</f>
        <v>8.768780717877716</v>
      </c>
      <c r="M29" s="8">
        <f>L44*$AC$35/4</f>
        <v>14.779000588335006</v>
      </c>
      <c r="N29" s="8">
        <f>M44*$AC$35/4</f>
        <v>21.098074313477575</v>
      </c>
      <c r="T29" s="8">
        <v>-19.350000000000001</v>
      </c>
      <c r="U29" s="8">
        <f>SUM(G29:J29)</f>
        <v>-38.427000000000007</v>
      </c>
      <c r="V29" s="8">
        <f>U44*$AC$35</f>
        <v>12.225292565217382</v>
      </c>
      <c r="W29" s="8">
        <f>V44*$AC$35</f>
        <v>106.28484951671723</v>
      </c>
      <c r="X29" s="8">
        <f>W44*$AC$35</f>
        <v>220.920146188921</v>
      </c>
      <c r="Y29" s="8">
        <f>X44*$AC$35</f>
        <v>359.75487357364892</v>
      </c>
      <c r="Z29" s="8">
        <f>Y44*$AC$35</f>
        <v>527.01240757960352</v>
      </c>
    </row>
    <row r="30" spans="1:92" x14ac:dyDescent="0.2">
      <c r="B30" s="8" t="s">
        <v>29</v>
      </c>
      <c r="G30" s="8">
        <f>G27+SUM(G28:G29)</f>
        <v>499.09999999999962</v>
      </c>
      <c r="H30" s="8">
        <f>H27+SUM(H28:H29)</f>
        <v>375.20000000000033</v>
      </c>
      <c r="I30" s="8">
        <f t="shared" ref="I30:L30" si="46">I27+SUM(I28:I29)</f>
        <v>115.8</v>
      </c>
      <c r="J30" s="8">
        <f t="shared" si="46"/>
        <v>335.94691304347828</v>
      </c>
      <c r="K30" s="8">
        <f t="shared" si="46"/>
        <v>448.03588835869567</v>
      </c>
      <c r="L30" s="8">
        <f t="shared" si="46"/>
        <v>471.38979376135603</v>
      </c>
      <c r="M30" s="8">
        <f t="shared" ref="M30:N30" si="47">M27+SUM(M28:M29)</f>
        <v>495.61362550137812</v>
      </c>
      <c r="N30" s="8">
        <f t="shared" si="47"/>
        <v>779.64400940608573</v>
      </c>
      <c r="P30" s="8">
        <f t="shared" ref="P30:R30" si="48">P27+SUM(P28:P29)</f>
        <v>0</v>
      </c>
      <c r="Q30" s="8">
        <f t="shared" si="48"/>
        <v>0</v>
      </c>
      <c r="R30" s="8">
        <f t="shared" si="48"/>
        <v>0</v>
      </c>
      <c r="S30" s="8">
        <f t="shared" ref="S30:T30" si="49">S27+SUM(S28:S29)</f>
        <v>761.24</v>
      </c>
      <c r="T30" s="8">
        <f t="shared" si="49"/>
        <v>1214.2500000000014</v>
      </c>
      <c r="U30" s="8">
        <f t="shared" ref="U30:V30" si="50">U27+SUM(U28:U29)</f>
        <v>1326.0469130434783</v>
      </c>
      <c r="V30" s="8">
        <f t="shared" si="50"/>
        <v>1932.5141690587734</v>
      </c>
      <c r="W30" s="8">
        <f t="shared" ref="W30" si="51">W27+SUM(W28:W29)</f>
        <v>2333.8199462492425</v>
      </c>
      <c r="X30" s="8">
        <f t="shared" ref="X30" si="52">X27+SUM(X28:X29)</f>
        <v>2804.8608583986465</v>
      </c>
      <c r="Y30" s="8">
        <f t="shared" ref="Y30:Z30" si="53">Y27+SUM(Y28:Y29)</f>
        <v>3357.1260997369332</v>
      </c>
      <c r="Z30" s="8">
        <f t="shared" si="53"/>
        <v>4003.9630299290184</v>
      </c>
    </row>
    <row r="31" spans="1:92" x14ac:dyDescent="0.2">
      <c r="B31" s="8" t="s">
        <v>30</v>
      </c>
      <c r="G31" s="8">
        <v>74.7</v>
      </c>
      <c r="H31" s="8">
        <v>56.9</v>
      </c>
      <c r="I31" s="8">
        <v>5.8</v>
      </c>
      <c r="J31" s="8">
        <f>J30*J38</f>
        <v>50.392036956521743</v>
      </c>
      <c r="K31" s="8">
        <f t="shared" ref="K31:N31" si="54">K30*K38</f>
        <v>67.205383253804342</v>
      </c>
      <c r="L31" s="8">
        <f t="shared" si="54"/>
        <v>70.708469064203399</v>
      </c>
      <c r="M31" s="8">
        <f t="shared" si="54"/>
        <v>74.342043825206716</v>
      </c>
      <c r="N31" s="8">
        <f t="shared" si="54"/>
        <v>116.94660141091285</v>
      </c>
      <c r="S31" s="8">
        <v>110.6</v>
      </c>
      <c r="T31" s="8">
        <v>63.3</v>
      </c>
      <c r="U31" s="8">
        <f>SUM(G31:J31)</f>
        <v>187.79203695652174</v>
      </c>
      <c r="V31" s="8">
        <f t="shared" ref="V31:Z31" si="55">V38*V27</f>
        <v>364.85488653377564</v>
      </c>
      <c r="W31" s="8">
        <f t="shared" si="55"/>
        <v>423.23166837917984</v>
      </c>
      <c r="X31" s="8">
        <f t="shared" si="55"/>
        <v>490.94873531984786</v>
      </c>
      <c r="Y31" s="8">
        <f t="shared" si="55"/>
        <v>569.50053297102397</v>
      </c>
      <c r="Z31" s="8">
        <f t="shared" si="55"/>
        <v>660.62061824638886</v>
      </c>
    </row>
    <row r="32" spans="1:92" ht="15" x14ac:dyDescent="0.25">
      <c r="B32" s="2" t="s">
        <v>8</v>
      </c>
      <c r="G32" s="2">
        <f>G30-G31</f>
        <v>424.39999999999964</v>
      </c>
      <c r="H32" s="2">
        <f>H30-H31</f>
        <v>318.30000000000035</v>
      </c>
      <c r="I32" s="2">
        <f>I30-I31</f>
        <v>110</v>
      </c>
      <c r="J32" s="2">
        <f>J30-J31</f>
        <v>285.55487608695654</v>
      </c>
      <c r="K32" s="2">
        <f t="shared" ref="K32:L32" si="56">K30-K31</f>
        <v>380.83050510489136</v>
      </c>
      <c r="L32" s="2">
        <f t="shared" si="56"/>
        <v>400.6813246971526</v>
      </c>
      <c r="M32" s="2">
        <f t="shared" ref="M32:N32" si="57">M30-M31</f>
        <v>421.27158167617142</v>
      </c>
      <c r="N32" s="2">
        <f t="shared" si="57"/>
        <v>662.69740799517285</v>
      </c>
      <c r="O32" s="2"/>
      <c r="P32" s="2">
        <f t="shared" ref="P32:R32" si="58">P30-P31</f>
        <v>0</v>
      </c>
      <c r="Q32" s="2">
        <f t="shared" si="58"/>
        <v>0</v>
      </c>
      <c r="R32" s="2">
        <f t="shared" si="58"/>
        <v>0</v>
      </c>
      <c r="S32" s="2">
        <f t="shared" ref="S32:Y32" si="59">S30-S31</f>
        <v>650.64</v>
      </c>
      <c r="T32" s="2">
        <f t="shared" si="59"/>
        <v>1150.9500000000014</v>
      </c>
      <c r="U32" s="2">
        <f t="shared" si="59"/>
        <v>1138.2548760869565</v>
      </c>
      <c r="V32" s="2">
        <f t="shared" si="59"/>
        <v>1567.6592825249977</v>
      </c>
      <c r="W32" s="2">
        <f t="shared" si="59"/>
        <v>1910.5882778700627</v>
      </c>
      <c r="X32" s="2">
        <f t="shared" si="59"/>
        <v>2313.9121230787987</v>
      </c>
      <c r="Y32" s="2">
        <f t="shared" si="59"/>
        <v>2787.6255667659093</v>
      </c>
      <c r="Z32" s="2">
        <f t="shared" ref="Z32" si="60">Z30-Z31</f>
        <v>3343.3424116826295</v>
      </c>
      <c r="AA32" s="2">
        <f>Z32*(1+$AC$36)</f>
        <v>3376.7758357994558</v>
      </c>
      <c r="AB32" s="2">
        <f>AA32*(1+$AC$36)</f>
        <v>3410.5435941574506</v>
      </c>
      <c r="AC32" s="2">
        <f>AB32*(1+$AC$36)</f>
        <v>3444.6490300990249</v>
      </c>
      <c r="AD32" s="2">
        <f>AC32*(1+$AC$36)</f>
        <v>3479.0955204000152</v>
      </c>
      <c r="AE32" s="2">
        <f>AD32*(1+$AC$36)</f>
        <v>3513.8864756040152</v>
      </c>
      <c r="AF32" s="2">
        <f>AE32*(1+$AC$36)</f>
        <v>3549.0253403600555</v>
      </c>
      <c r="AG32" s="2">
        <f>AF32*(1+$AC$36)</f>
        <v>3584.5155937636559</v>
      </c>
      <c r="AH32" s="2">
        <f>AG32*(1+$AC$36)</f>
        <v>3620.3607497012927</v>
      </c>
      <c r="AI32" s="2">
        <f>AH32*(1+$AC$36)</f>
        <v>3656.5643571983055</v>
      </c>
      <c r="AJ32" s="2">
        <f>AI32*(1+$AC$36)</f>
        <v>3693.1300007702885</v>
      </c>
      <c r="AK32" s="2">
        <f>AJ32*(1+$AC$36)</f>
        <v>3730.0613007779912</v>
      </c>
      <c r="AL32" s="2">
        <f>AK32*(1+$AC$36)</f>
        <v>3767.3619137857713</v>
      </c>
      <c r="AM32" s="2">
        <f>AL32*(1+$AC$36)</f>
        <v>3805.035532923629</v>
      </c>
      <c r="AN32" s="2">
        <f>AM32*(1+$AC$36)</f>
        <v>3843.0858882528655</v>
      </c>
      <c r="AO32" s="2">
        <f>AN32*(1+$AC$36)</f>
        <v>3881.5167471353943</v>
      </c>
      <c r="AP32" s="2">
        <f>AO32*(1+$AC$36)</f>
        <v>3920.3319146067483</v>
      </c>
      <c r="AQ32" s="2">
        <f>AP32*(1+$AC$36)</f>
        <v>3959.5352337528157</v>
      </c>
      <c r="AR32" s="2">
        <f>AQ32*(1+$AC$36)</f>
        <v>3999.130586090344</v>
      </c>
      <c r="AS32" s="2">
        <f>AR32*(1+$AC$36)</f>
        <v>4039.1218919512476</v>
      </c>
      <c r="AT32" s="2">
        <f>AS32*(1+$AC$36)</f>
        <v>4079.5131108707601</v>
      </c>
      <c r="AU32" s="2">
        <f>AT32*(1+$AC$36)</f>
        <v>4120.3082419794673</v>
      </c>
      <c r="AV32" s="2">
        <f>AU32*(1+$AC$36)</f>
        <v>4161.5113243992619</v>
      </c>
      <c r="AW32" s="2">
        <f>AV32*(1+$AC$36)</f>
        <v>4203.1264376432546</v>
      </c>
      <c r="AX32" s="2">
        <f>AW32*(1+$AC$36)</f>
        <v>4245.1577020196873</v>
      </c>
      <c r="AY32" s="2">
        <f>AX32*(1+$AC$36)</f>
        <v>4287.6092790398843</v>
      </c>
      <c r="AZ32" s="2">
        <f>AY32*(1+$AC$36)</f>
        <v>4330.4853718302829</v>
      </c>
      <c r="BA32" s="2">
        <f>AZ32*(1+$AC$36)</f>
        <v>4373.790225548586</v>
      </c>
      <c r="BB32" s="2">
        <f>BA32*(1+$AC$36)</f>
        <v>4417.528127804072</v>
      </c>
      <c r="BC32" s="2">
        <f>BB32*(1+$AC$36)</f>
        <v>4461.7034090821126</v>
      </c>
      <c r="BD32" s="2">
        <f>BC32*(1+$AC$36)</f>
        <v>4506.3204431729337</v>
      </c>
      <c r="BE32" s="2">
        <f>BD32*(1+$AC$36)</f>
        <v>4551.3836476046627</v>
      </c>
      <c r="BF32" s="2">
        <f>BE32*(1+$AC$36)</f>
        <v>4596.8974840807095</v>
      </c>
      <c r="BG32" s="2">
        <f>BF32*(1+$AC$36)</f>
        <v>4642.8664589215168</v>
      </c>
      <c r="BH32" s="2">
        <f>BG32*(1+$AC$36)</f>
        <v>4689.2951235107321</v>
      </c>
      <c r="BI32" s="2">
        <f>BH32*(1+$AC$36)</f>
        <v>4736.188074745839</v>
      </c>
      <c r="BJ32" s="2">
        <f>BI32*(1+$AC$36)</f>
        <v>4783.5499554932976</v>
      </c>
      <c r="BK32" s="2">
        <f>BJ32*(1+$AC$36)</f>
        <v>4831.3854550482311</v>
      </c>
      <c r="BL32" s="2">
        <f>BK32*(1+$AC$36)</f>
        <v>4879.6993095987136</v>
      </c>
      <c r="BM32" s="2">
        <f>BL32*(1+$AC$36)</f>
        <v>4928.4963026947007</v>
      </c>
      <c r="BN32" s="2">
        <f>BM32*(1+$AC$36)</f>
        <v>4977.7812657216482</v>
      </c>
      <c r="BO32" s="2">
        <f>BN32*(1+$AC$36)</f>
        <v>5027.5590783788648</v>
      </c>
      <c r="BP32" s="2">
        <f>BO32*(1+$AC$36)</f>
        <v>5077.8346691626539</v>
      </c>
      <c r="BQ32" s="2">
        <f>BP32*(1+$AC$36)</f>
        <v>5128.6130158542801</v>
      </c>
      <c r="BR32" s="2">
        <f>BQ32*(1+$AC$36)</f>
        <v>5179.8991460128227</v>
      </c>
      <c r="BS32" s="2">
        <f>BR32*(1+$AC$36)</f>
        <v>5231.6981374729512</v>
      </c>
      <c r="BT32" s="2">
        <f>BS32*(1+$AC$36)</f>
        <v>5284.0151188476812</v>
      </c>
      <c r="BU32" s="2">
        <f>BT32*(1+$AC$36)</f>
        <v>5336.8552700361579</v>
      </c>
      <c r="BV32" s="2">
        <f>BU32*(1+$AC$36)</f>
        <v>5390.2238227365197</v>
      </c>
      <c r="BW32" s="2">
        <f>BV32*(1+$AC$36)</f>
        <v>5444.1260609638848</v>
      </c>
      <c r="BX32" s="2">
        <f>BW32*(1+$AC$36)</f>
        <v>5498.5673215735233</v>
      </c>
      <c r="BY32" s="2">
        <f>BX32*(1+$AC$36)</f>
        <v>5553.5529947892583</v>
      </c>
      <c r="BZ32" s="2">
        <f>BY32*(1+$AC$36)</f>
        <v>5609.0885247371507</v>
      </c>
      <c r="CA32" s="2">
        <f>BZ32*(1+$AC$36)</f>
        <v>5665.179409984522</v>
      </c>
      <c r="CB32" s="2">
        <f>CA32*(1+$AC$36)</f>
        <v>5721.8312040843675</v>
      </c>
      <c r="CC32" s="2">
        <f>CB32*(1+$AC$36)</f>
        <v>5779.0495161252111</v>
      </c>
      <c r="CD32" s="2">
        <f>CC32*(1+$AC$36)</f>
        <v>5836.8400112864629</v>
      </c>
      <c r="CE32" s="2">
        <f>CD32*(1+$AC$36)</f>
        <v>5895.2084113993278</v>
      </c>
      <c r="CF32" s="2">
        <f>CE32*(1+$AC$36)</f>
        <v>5954.1604955133207</v>
      </c>
      <c r="CG32" s="2">
        <f>CF32*(1+$AC$36)</f>
        <v>6013.7021004684539</v>
      </c>
      <c r="CH32" s="2">
        <f>CG32*(1+$AC$36)</f>
        <v>6073.8391214731382</v>
      </c>
      <c r="CI32" s="2">
        <f>CH32*(1+$AC$36)</f>
        <v>6134.5775126878698</v>
      </c>
      <c r="CJ32" s="2">
        <f>CI32*(1+$AC$36)</f>
        <v>6195.9232878147486</v>
      </c>
      <c r="CK32" s="2">
        <f>CJ32*(1+$AC$36)</f>
        <v>6257.8825206928959</v>
      </c>
      <c r="CL32" s="2">
        <f>CK32*(1+$AC$36)</f>
        <v>6320.4613458998247</v>
      </c>
      <c r="CM32" s="2">
        <f>CL32*(1+$AC$36)</f>
        <v>6383.6659593588229</v>
      </c>
      <c r="CN32" s="2">
        <f>CM32*(1+$AC$36)</f>
        <v>6447.5026189524115</v>
      </c>
    </row>
    <row r="33" spans="2:29" x14ac:dyDescent="0.2">
      <c r="B33" s="8" t="s">
        <v>2</v>
      </c>
      <c r="G33" s="8">
        <v>593.48099999999999</v>
      </c>
      <c r="H33" s="8">
        <v>593.48099999999999</v>
      </c>
      <c r="I33" s="8">
        <v>593.48099999999999</v>
      </c>
      <c r="J33" s="8">
        <v>628</v>
      </c>
      <c r="K33" s="8">
        <v>628</v>
      </c>
      <c r="L33" s="8">
        <v>628</v>
      </c>
      <c r="M33" s="8">
        <v>628</v>
      </c>
      <c r="N33" s="8">
        <v>628</v>
      </c>
      <c r="T33" s="8">
        <v>593.48099999999999</v>
      </c>
      <c r="U33" s="8">
        <f>J33</f>
        <v>628</v>
      </c>
      <c r="V33" s="8">
        <v>628</v>
      </c>
      <c r="W33" s="8">
        <v>628</v>
      </c>
      <c r="X33" s="8">
        <v>628</v>
      </c>
      <c r="Y33" s="8">
        <v>628</v>
      </c>
      <c r="Z33" s="8">
        <v>628</v>
      </c>
    </row>
    <row r="34" spans="2:29" x14ac:dyDescent="0.2">
      <c r="B34" s="8" t="s">
        <v>31</v>
      </c>
      <c r="G34" s="11">
        <f>G32/G33</f>
        <v>0.71510292663118047</v>
      </c>
      <c r="H34" s="11">
        <f>H32/H33</f>
        <v>0.53632719497338643</v>
      </c>
      <c r="I34" s="11">
        <f t="shared" ref="I34:L34" si="61">I32/I33</f>
        <v>0.18534712989969351</v>
      </c>
      <c r="J34" s="11">
        <f t="shared" si="61"/>
        <v>0.4547052166989754</v>
      </c>
      <c r="K34" s="11">
        <f t="shared" si="61"/>
        <v>0.6064180017593811</v>
      </c>
      <c r="L34" s="11">
        <f t="shared" si="61"/>
        <v>0.63802758709737672</v>
      </c>
      <c r="M34" s="11">
        <f t="shared" ref="M34:N34" si="62">M32/M33</f>
        <v>0.67081462050345764</v>
      </c>
      <c r="N34" s="11">
        <f t="shared" si="62"/>
        <v>1.0552506496738421</v>
      </c>
      <c r="O34" s="11"/>
      <c r="P34" s="11" t="e">
        <f t="shared" ref="P34:S34" si="63">P32/P33</f>
        <v>#DIV/0!</v>
      </c>
      <c r="Q34" s="11" t="e">
        <f t="shared" si="63"/>
        <v>#DIV/0!</v>
      </c>
      <c r="R34" s="11" t="e">
        <f t="shared" si="63"/>
        <v>#DIV/0!</v>
      </c>
      <c r="S34" s="11" t="e">
        <f t="shared" si="63"/>
        <v>#DIV/0!</v>
      </c>
      <c r="T34" s="11">
        <f t="shared" ref="T34:Y34" si="64">T32/T33</f>
        <v>1.939320719618659</v>
      </c>
      <c r="U34" s="11">
        <f t="shared" si="64"/>
        <v>1.8125077644696761</v>
      </c>
      <c r="V34" s="11">
        <f t="shared" si="64"/>
        <v>2.4962727428742002</v>
      </c>
      <c r="W34" s="11">
        <f t="shared" si="64"/>
        <v>3.0423380220860872</v>
      </c>
      <c r="X34" s="11">
        <f t="shared" si="64"/>
        <v>3.6845734443929916</v>
      </c>
      <c r="Y34" s="11">
        <f t="shared" si="64"/>
        <v>4.4388942145953969</v>
      </c>
      <c r="Z34" s="11">
        <f t="shared" ref="Z34" si="65">Z32/Z33</f>
        <v>5.3237936491761619</v>
      </c>
    </row>
    <row r="35" spans="2:29" x14ac:dyDescent="0.2">
      <c r="S35" s="12"/>
      <c r="T35" s="12"/>
      <c r="U35" s="12"/>
      <c r="V35" s="11"/>
      <c r="W35" s="12"/>
      <c r="X35" s="12"/>
      <c r="Y35" s="12"/>
      <c r="AB35" s="8" t="s">
        <v>40</v>
      </c>
      <c r="AC35" s="13">
        <v>0.06</v>
      </c>
    </row>
    <row r="36" spans="2:29" ht="15" x14ac:dyDescent="0.25">
      <c r="B36" s="2" t="s">
        <v>23</v>
      </c>
      <c r="G36" s="3" t="e">
        <f t="shared" ref="G36:L36" si="66">G20/C20-1</f>
        <v>#DIV/0!</v>
      </c>
      <c r="H36" s="3" t="e">
        <f t="shared" si="66"/>
        <v>#DIV/0!</v>
      </c>
      <c r="I36" s="3" t="e">
        <f t="shared" si="66"/>
        <v>#DIV/0!</v>
      </c>
      <c r="J36" s="3" t="e">
        <f t="shared" si="66"/>
        <v>#DIV/0!</v>
      </c>
      <c r="K36" s="3">
        <f t="shared" si="66"/>
        <v>0.21273370389085389</v>
      </c>
      <c r="L36" s="3">
        <f t="shared" si="66"/>
        <v>0.30609369496301508</v>
      </c>
      <c r="M36" s="3">
        <f t="shared" ref="M36" si="67">M20/I20-1</f>
        <v>0.66053913043478274</v>
      </c>
      <c r="N36" s="3">
        <f t="shared" ref="N36" si="68">N20/J20-1</f>
        <v>0.7823119999999999</v>
      </c>
      <c r="O36" s="13"/>
      <c r="P36" s="13"/>
      <c r="Q36" s="3" t="e">
        <f t="shared" ref="Q36" si="69">Q20/P20-1</f>
        <v>#DIV/0!</v>
      </c>
      <c r="R36" s="3" t="e">
        <f t="shared" ref="R36" si="70">R20/Q20-1</f>
        <v>#DIV/0!</v>
      </c>
      <c r="S36" s="3" t="e">
        <f t="shared" ref="S36" si="71">S20/R20-1</f>
        <v>#DIV/0!</v>
      </c>
      <c r="T36" s="3">
        <f t="shared" ref="T36:Z36" si="72">T20/S20-1</f>
        <v>1.1042198949939639</v>
      </c>
      <c r="U36" s="3">
        <f t="shared" si="72"/>
        <v>0.48206708830357847</v>
      </c>
      <c r="V36" s="3">
        <f t="shared" si="72"/>
        <v>0.35043889264010808</v>
      </c>
      <c r="W36" s="3">
        <f t="shared" si="72"/>
        <v>0.15999999999999992</v>
      </c>
      <c r="X36" s="3">
        <f t="shared" si="72"/>
        <v>0.15999999999999992</v>
      </c>
      <c r="Y36" s="3">
        <f t="shared" si="72"/>
        <v>0.15999999999999992</v>
      </c>
      <c r="Z36" s="3">
        <f t="shared" si="72"/>
        <v>0.15999999999999992</v>
      </c>
      <c r="AB36" s="8" t="s">
        <v>12</v>
      </c>
      <c r="AC36" s="13">
        <v>0.01</v>
      </c>
    </row>
    <row r="37" spans="2:29" x14ac:dyDescent="0.2">
      <c r="B37" s="8" t="s">
        <v>38</v>
      </c>
      <c r="D37" s="13" t="e">
        <f t="shared" ref="D37:J37" si="73">D20/C20-1</f>
        <v>#DIV/0!</v>
      </c>
      <c r="E37" s="13" t="e">
        <f t="shared" si="73"/>
        <v>#DIV/0!</v>
      </c>
      <c r="F37" s="13" t="e">
        <f t="shared" si="73"/>
        <v>#DIV/0!</v>
      </c>
      <c r="G37" s="13" t="e">
        <f t="shared" si="73"/>
        <v>#DIV/0!</v>
      </c>
      <c r="H37" s="13">
        <f t="shared" si="73"/>
        <v>-4.362472629274039E-2</v>
      </c>
      <c r="I37" s="13">
        <f t="shared" si="73"/>
        <v>-0.18985558295174354</v>
      </c>
      <c r="J37" s="13">
        <f t="shared" si="73"/>
        <v>0.30434782608695654</v>
      </c>
      <c r="K37" s="13">
        <f t="shared" ref="K37:L37" si="74">K20/J20-1</f>
        <v>0.19999999999999996</v>
      </c>
      <c r="L37" s="13">
        <f t="shared" si="74"/>
        <v>3.0000000000000027E-2</v>
      </c>
      <c r="M37" s="13">
        <f t="shared" ref="M37" si="75">M20/L20-1</f>
        <v>3.0000000000000027E-2</v>
      </c>
      <c r="N37" s="13">
        <f t="shared" ref="N37" si="76">N20/M20-1</f>
        <v>0.39999999999999991</v>
      </c>
      <c r="O37" s="13"/>
      <c r="P37" s="13"/>
      <c r="Q37" s="13"/>
      <c r="AB37" s="8" t="s">
        <v>10</v>
      </c>
      <c r="AC37" s="14">
        <v>0.08</v>
      </c>
    </row>
    <row r="38" spans="2:29" ht="15" x14ac:dyDescent="0.25">
      <c r="B38" s="8" t="s">
        <v>37</v>
      </c>
      <c r="C38" s="13" t="e">
        <f t="shared" ref="C38:I38" si="77">C31/C27</f>
        <v>#DIV/0!</v>
      </c>
      <c r="D38" s="13" t="e">
        <f t="shared" si="77"/>
        <v>#DIV/0!</v>
      </c>
      <c r="E38" s="13" t="e">
        <f t="shared" si="77"/>
        <v>#DIV/0!</v>
      </c>
      <c r="F38" s="13" t="e">
        <f t="shared" si="77"/>
        <v>#DIV/0!</v>
      </c>
      <c r="G38" s="13">
        <f t="shared" si="77"/>
        <v>0.14670070699135909</v>
      </c>
      <c r="H38" s="13">
        <f t="shared" si="77"/>
        <v>0.15428416485900201</v>
      </c>
      <c r="I38" s="13">
        <f t="shared" si="77"/>
        <v>3.9322033898305082E-2</v>
      </c>
      <c r="J38" s="13">
        <v>0.15</v>
      </c>
      <c r="K38" s="13">
        <v>0.15</v>
      </c>
      <c r="L38" s="13">
        <v>0.15</v>
      </c>
      <c r="M38" s="13">
        <v>0.15</v>
      </c>
      <c r="N38" s="13">
        <v>0.15</v>
      </c>
      <c r="O38" s="13"/>
      <c r="P38" s="13" t="e">
        <f>P31/P27</f>
        <v>#DIV/0!</v>
      </c>
      <c r="Q38" s="13" t="e">
        <f>Q31/Q27</f>
        <v>#DIV/0!</v>
      </c>
      <c r="R38" s="13" t="e">
        <f>R31/R27</f>
        <v>#DIV/0!</v>
      </c>
      <c r="S38" s="13">
        <f>S31/S27</f>
        <v>0.14528926488361094</v>
      </c>
      <c r="T38" s="13">
        <f>T31/T27</f>
        <v>5.2275167230985152E-2</v>
      </c>
      <c r="U38" s="13">
        <f>U31/U27</f>
        <v>0.13781142734074631</v>
      </c>
      <c r="V38" s="13">
        <v>0.19</v>
      </c>
      <c r="W38" s="13">
        <v>0.19</v>
      </c>
      <c r="X38" s="13">
        <v>0.19</v>
      </c>
      <c r="Y38" s="13">
        <v>0.19</v>
      </c>
      <c r="Z38" s="13">
        <v>0.19</v>
      </c>
      <c r="AB38" s="2" t="s">
        <v>13</v>
      </c>
      <c r="AC38" s="2">
        <f>NPV(AC37,V32:CN32)+main!F16-main!F17</f>
        <v>41075.896050390278</v>
      </c>
    </row>
    <row r="39" spans="2:29" x14ac:dyDescent="0.2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B39" s="8" t="s">
        <v>1</v>
      </c>
      <c r="AC39" s="15">
        <f>AC38/main!F14</f>
        <v>68.824597115361883</v>
      </c>
    </row>
    <row r="40" spans="2:29" ht="15" x14ac:dyDescent="0.25">
      <c r="B40" s="2" t="s">
        <v>9</v>
      </c>
      <c r="C40" s="3" t="e">
        <f t="shared" ref="C40:I40" si="78">C22/C20</f>
        <v>#DIV/0!</v>
      </c>
      <c r="D40" s="3" t="e">
        <f t="shared" si="78"/>
        <v>#DIV/0!</v>
      </c>
      <c r="E40" s="3" t="e">
        <f t="shared" si="78"/>
        <v>#DIV/0!</v>
      </c>
      <c r="F40" s="3" t="e">
        <f t="shared" si="78"/>
        <v>#DIV/0!</v>
      </c>
      <c r="G40" s="3">
        <f t="shared" si="78"/>
        <v>0.13060468249957885</v>
      </c>
      <c r="H40" s="3">
        <f t="shared" si="78"/>
        <v>0.11801690736174716</v>
      </c>
      <c r="I40" s="3">
        <f t="shared" si="78"/>
        <v>9.5869565217391303E-2</v>
      </c>
      <c r="J40" s="3">
        <v>0.12</v>
      </c>
      <c r="K40" s="3">
        <v>0.12</v>
      </c>
      <c r="L40" s="3">
        <v>0.12</v>
      </c>
      <c r="M40" s="3">
        <v>0.12</v>
      </c>
      <c r="N40" s="3">
        <v>0.12</v>
      </c>
      <c r="O40" s="3"/>
      <c r="P40" s="3" t="e">
        <f t="shared" ref="P40" si="79">P22/P20</f>
        <v>#DIV/0!</v>
      </c>
      <c r="Q40" s="3" t="e">
        <f t="shared" ref="Q40:U40" si="80">Q22/Q20</f>
        <v>#DIV/0!</v>
      </c>
      <c r="R40" s="3" t="e">
        <f t="shared" si="80"/>
        <v>#DIV/0!</v>
      </c>
      <c r="S40" s="3">
        <f t="shared" si="80"/>
        <v>0.18011062133250977</v>
      </c>
      <c r="T40" s="3">
        <f t="shared" si="80"/>
        <v>0.13752568515998195</v>
      </c>
      <c r="U40" s="3">
        <f t="shared" si="80"/>
        <v>0.11733063245554805</v>
      </c>
      <c r="V40" s="3">
        <v>0.12</v>
      </c>
      <c r="W40" s="3">
        <v>0.12</v>
      </c>
      <c r="X40" s="3">
        <v>0.12</v>
      </c>
      <c r="Y40" s="3">
        <v>0.12</v>
      </c>
      <c r="Z40" s="3">
        <v>0.12</v>
      </c>
      <c r="AB40" s="8" t="s">
        <v>14</v>
      </c>
      <c r="AC40" s="13">
        <f>AC39/main!F13-1</f>
        <v>1.0242528563341731</v>
      </c>
    </row>
    <row r="41" spans="2:29" x14ac:dyDescent="0.2">
      <c r="B41" s="8" t="s">
        <v>33</v>
      </c>
      <c r="C41" s="13" t="e">
        <f>#REF!/C20</f>
        <v>#REF!</v>
      </c>
      <c r="D41" s="13" t="e">
        <f>#REF!/D20</f>
        <v>#REF!</v>
      </c>
      <c r="E41" s="13" t="e">
        <f>#REF!/E20</f>
        <v>#REF!</v>
      </c>
      <c r="F41" s="13" t="e">
        <f>#REF!/F20</f>
        <v>#REF!</v>
      </c>
      <c r="G41" s="13" t="e">
        <f>#REF!/G20</f>
        <v>#REF!</v>
      </c>
      <c r="H41" s="13" t="e">
        <f>#REF!/H20</f>
        <v>#REF!</v>
      </c>
      <c r="I41" s="13" t="e">
        <f>#REF!/I20</f>
        <v>#REF!</v>
      </c>
      <c r="J41" s="13">
        <v>6.2E-2</v>
      </c>
      <c r="K41" s="13">
        <v>6.2E-2</v>
      </c>
      <c r="L41" s="13">
        <v>6.5000000000000002E-2</v>
      </c>
      <c r="M41" s="13">
        <v>6.5000000000000002E-2</v>
      </c>
      <c r="N41" s="13">
        <v>6.5000000000000002E-2</v>
      </c>
      <c r="O41" s="13"/>
      <c r="P41" s="13">
        <v>6.5000000000000002E-2</v>
      </c>
      <c r="Q41" s="13">
        <v>6.5000000000000002E-2</v>
      </c>
      <c r="R41" s="13" t="e">
        <f>#REF!/R32</f>
        <v>#REF!</v>
      </c>
      <c r="S41" s="13" t="e">
        <f>#REF!/S20</f>
        <v>#REF!</v>
      </c>
      <c r="T41" s="13" t="e">
        <f>#REF!/T20</f>
        <v>#REF!</v>
      </c>
      <c r="U41" s="13" t="e">
        <f>#REF!/U20</f>
        <v>#REF!</v>
      </c>
      <c r="V41" s="13" t="e">
        <f>#REF!/V20</f>
        <v>#REF!</v>
      </c>
      <c r="W41" s="13" t="e">
        <f>#REF!/W20</f>
        <v>#REF!</v>
      </c>
      <c r="X41" s="13" t="e">
        <f>#REF!/X20</f>
        <v>#REF!</v>
      </c>
      <c r="Y41" s="13" t="e">
        <f>#REF!/Y20</f>
        <v>#REF!</v>
      </c>
      <c r="Z41" s="13" t="e">
        <f>#REF!/Z20</f>
        <v>#REF!</v>
      </c>
    </row>
    <row r="42" spans="2:29" x14ac:dyDescent="0.2">
      <c r="B42" s="8" t="s">
        <v>49</v>
      </c>
      <c r="C42" s="13" t="e">
        <f>C26/C20</f>
        <v>#DIV/0!</v>
      </c>
      <c r="D42" s="13" t="e">
        <f t="shared" ref="D42:N42" si="81">D26/D20</f>
        <v>#DIV/0!</v>
      </c>
      <c r="E42" s="13" t="e">
        <f t="shared" si="81"/>
        <v>#DIV/0!</v>
      </c>
      <c r="F42" s="13" t="e">
        <f t="shared" si="81"/>
        <v>#DIV/0!</v>
      </c>
      <c r="G42" s="13">
        <f t="shared" si="81"/>
        <v>4.4837459996631295E-2</v>
      </c>
      <c r="H42" s="13">
        <f t="shared" si="81"/>
        <v>5.3064459316660796E-2</v>
      </c>
      <c r="I42" s="13">
        <f t="shared" si="81"/>
        <v>6.380434782608696E-2</v>
      </c>
      <c r="J42" s="13">
        <f t="shared" si="81"/>
        <v>6.380434782608696E-2</v>
      </c>
      <c r="K42" s="13">
        <f t="shared" si="81"/>
        <v>5.8197282608695652E-2</v>
      </c>
      <c r="L42" s="13">
        <f t="shared" si="81"/>
        <v>5.7618525749261289E-2</v>
      </c>
      <c r="M42" s="13">
        <f t="shared" si="81"/>
        <v>5.7051006887097494E-2</v>
      </c>
      <c r="N42" s="13">
        <f t="shared" si="81"/>
        <v>4.9067232608300461E-2</v>
      </c>
      <c r="O42" s="13"/>
      <c r="P42" s="13"/>
      <c r="Q42" s="13"/>
      <c r="R42" s="13"/>
      <c r="S42" s="13">
        <f>S26/S20</f>
        <v>7.3245921891231719E-2</v>
      </c>
      <c r="T42" s="13">
        <f>T26/T20</f>
        <v>5.6740853414458406E-2</v>
      </c>
      <c r="U42" s="13">
        <f>U26/U20</f>
        <v>5.5990370783548134E-2</v>
      </c>
      <c r="V42" s="13">
        <f t="shared" ref="V42:Z42" si="82">V26/V20</f>
        <v>5.5990370783548134E-2</v>
      </c>
      <c r="W42" s="13">
        <f t="shared" si="82"/>
        <v>5.5990370783548127E-2</v>
      </c>
      <c r="X42" s="13">
        <f t="shared" si="82"/>
        <v>5.5990370783548127E-2</v>
      </c>
      <c r="Y42" s="13">
        <f t="shared" si="82"/>
        <v>5.5990370783548127E-2</v>
      </c>
      <c r="Z42" s="13">
        <f t="shared" si="82"/>
        <v>5.5990370783548113E-2</v>
      </c>
    </row>
    <row r="43" spans="2:29" x14ac:dyDescent="0.2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2:29" x14ac:dyDescent="0.2">
      <c r="B44" s="8" t="s">
        <v>41</v>
      </c>
      <c r="G44" s="13"/>
      <c r="H44" s="8">
        <f>H45-H46</f>
        <v>0</v>
      </c>
      <c r="I44" s="8">
        <f>I45-I46</f>
        <v>-81.800000000000182</v>
      </c>
      <c r="J44" s="8">
        <f>I44+J32</f>
        <v>203.75487608695636</v>
      </c>
      <c r="K44" s="8">
        <f t="shared" ref="K44:N44" si="83">J44+K32</f>
        <v>584.58538119184777</v>
      </c>
      <c r="L44" s="8">
        <f t="shared" si="83"/>
        <v>985.26670588900038</v>
      </c>
      <c r="M44" s="8">
        <f t="shared" si="83"/>
        <v>1406.5382875651717</v>
      </c>
      <c r="N44" s="8">
        <f t="shared" si="83"/>
        <v>2069.2356955603445</v>
      </c>
      <c r="R44" s="13"/>
      <c r="T44" s="8">
        <f>T45-T46</f>
        <v>-172.20000000000005</v>
      </c>
      <c r="U44" s="8">
        <f>J44</f>
        <v>203.75487608695636</v>
      </c>
      <c r="V44" s="8">
        <f>U44+V32</f>
        <v>1771.414158611954</v>
      </c>
      <c r="W44" s="8">
        <f>V44+W32</f>
        <v>3682.0024364820165</v>
      </c>
      <c r="X44" s="8">
        <f>W44+X32</f>
        <v>5995.9145595608152</v>
      </c>
      <c r="Y44" s="8">
        <f>X44+Y32</f>
        <v>8783.5401263267249</v>
      </c>
      <c r="Z44" s="8">
        <f>Y44+Z32</f>
        <v>12126.882538009355</v>
      </c>
    </row>
    <row r="45" spans="2:29" x14ac:dyDescent="0.2">
      <c r="B45" s="8" t="s">
        <v>4</v>
      </c>
      <c r="H45" s="8">
        <f>H48</f>
        <v>0</v>
      </c>
      <c r="I45" s="8">
        <f>I48</f>
        <v>2536.1</v>
      </c>
      <c r="S45" s="8">
        <f>S48</f>
        <v>440.459</v>
      </c>
      <c r="T45" s="8">
        <f>T48</f>
        <v>1669.8</v>
      </c>
      <c r="U45" s="8">
        <f>J45</f>
        <v>0</v>
      </c>
    </row>
    <row r="46" spans="2:29" x14ac:dyDescent="0.2">
      <c r="B46" s="8" t="s">
        <v>5</v>
      </c>
      <c r="H46" s="8">
        <f>SUM(H63:H65)</f>
        <v>0</v>
      </c>
      <c r="I46" s="8">
        <f>SUM(I63:I65)</f>
        <v>2617.9</v>
      </c>
      <c r="S46" s="8">
        <f>SUM(S63:S65)</f>
        <v>158.19999999999999</v>
      </c>
      <c r="T46" s="8">
        <f>SUM(T63:T65)</f>
        <v>1842</v>
      </c>
      <c r="U46" s="8">
        <f>J46</f>
        <v>0</v>
      </c>
    </row>
    <row r="48" spans="2:29" x14ac:dyDescent="0.2">
      <c r="B48" s="8" t="s">
        <v>4</v>
      </c>
      <c r="I48" s="8">
        <v>2536.1</v>
      </c>
      <c r="S48" s="8">
        <v>440.459</v>
      </c>
      <c r="T48" s="8">
        <v>1669.8</v>
      </c>
      <c r="U48" s="8">
        <f>J48</f>
        <v>0</v>
      </c>
    </row>
    <row r="49" spans="2:26" x14ac:dyDescent="0.2">
      <c r="B49" s="8" t="s">
        <v>50</v>
      </c>
      <c r="I49" s="8">
        <v>2642.5</v>
      </c>
      <c r="S49" s="8">
        <v>1148.3</v>
      </c>
      <c r="T49" s="8">
        <v>2737.3</v>
      </c>
      <c r="U49" s="8">
        <f t="shared" ref="U49:U54" si="84">J49</f>
        <v>0</v>
      </c>
    </row>
    <row r="50" spans="2:26" x14ac:dyDescent="0.2">
      <c r="B50" s="8" t="s">
        <v>51</v>
      </c>
      <c r="I50" s="8">
        <v>3870.2</v>
      </c>
      <c r="S50" s="8">
        <v>1445.6</v>
      </c>
      <c r="T50" s="8">
        <v>4333</v>
      </c>
      <c r="U50" s="8">
        <f t="shared" si="84"/>
        <v>0</v>
      </c>
    </row>
    <row r="51" spans="2:26" x14ac:dyDescent="0.2">
      <c r="B51" s="8" t="s">
        <v>52</v>
      </c>
      <c r="I51" s="8">
        <v>464.7</v>
      </c>
      <c r="S51" s="8">
        <v>145.1</v>
      </c>
      <c r="T51" s="8">
        <v>191.8</v>
      </c>
      <c r="U51" s="8">
        <f t="shared" si="84"/>
        <v>0</v>
      </c>
    </row>
    <row r="52" spans="2:26" x14ac:dyDescent="0.2">
      <c r="B52" s="8" t="s">
        <v>53</v>
      </c>
      <c r="I52" s="8">
        <v>492.6</v>
      </c>
      <c r="S52" s="8">
        <v>290.2</v>
      </c>
      <c r="T52" s="8">
        <v>414.1</v>
      </c>
      <c r="U52" s="8">
        <f t="shared" si="84"/>
        <v>0</v>
      </c>
    </row>
    <row r="53" spans="2:26" x14ac:dyDescent="0.2">
      <c r="B53" s="8" t="s">
        <v>54</v>
      </c>
      <c r="I53" s="8">
        <v>481.2</v>
      </c>
      <c r="S53" s="8">
        <v>162.6</v>
      </c>
      <c r="T53" s="8">
        <v>365.2</v>
      </c>
      <c r="U53" s="8">
        <f t="shared" si="84"/>
        <v>0</v>
      </c>
    </row>
    <row r="54" spans="2:26" x14ac:dyDescent="0.2">
      <c r="B54" s="8" t="s">
        <v>55</v>
      </c>
      <c r="I54" s="8">
        <v>251.2</v>
      </c>
      <c r="S54" s="8">
        <v>42.4</v>
      </c>
      <c r="T54" s="8">
        <v>114.95</v>
      </c>
      <c r="U54" s="8">
        <f t="shared" si="84"/>
        <v>0</v>
      </c>
    </row>
    <row r="55" spans="2:26" x14ac:dyDescent="0.2">
      <c r="B55" s="8" t="s">
        <v>56</v>
      </c>
      <c r="C55" s="8">
        <f>SUM(C48:C54)</f>
        <v>0</v>
      </c>
      <c r="D55" s="8">
        <f t="shared" ref="D55:P55" si="85">SUM(D48:D54)</f>
        <v>0</v>
      </c>
      <c r="E55" s="8">
        <f t="shared" si="85"/>
        <v>0</v>
      </c>
      <c r="F55" s="8">
        <f t="shared" si="85"/>
        <v>0</v>
      </c>
      <c r="G55" s="8">
        <f t="shared" si="85"/>
        <v>0</v>
      </c>
      <c r="H55" s="8">
        <f t="shared" si="85"/>
        <v>0</v>
      </c>
      <c r="I55" s="8">
        <f t="shared" si="85"/>
        <v>10738.500000000002</v>
      </c>
      <c r="J55" s="8">
        <f t="shared" si="85"/>
        <v>0</v>
      </c>
      <c r="K55" s="8">
        <f t="shared" si="85"/>
        <v>0</v>
      </c>
      <c r="L55" s="8">
        <f t="shared" si="85"/>
        <v>0</v>
      </c>
      <c r="M55" s="8">
        <f t="shared" si="85"/>
        <v>0</v>
      </c>
      <c r="N55" s="8">
        <f t="shared" si="85"/>
        <v>0</v>
      </c>
      <c r="P55" s="8">
        <f t="shared" si="85"/>
        <v>0</v>
      </c>
      <c r="Q55" s="8">
        <f t="shared" ref="Q55" si="86">SUM(Q48:Q54)</f>
        <v>0</v>
      </c>
      <c r="R55" s="8">
        <f t="shared" ref="R55" si="87">SUM(R48:R54)</f>
        <v>0</v>
      </c>
      <c r="S55" s="8">
        <f t="shared" ref="S55" si="88">SUM(S48:S54)</f>
        <v>3674.6589999999997</v>
      </c>
      <c r="T55" s="8">
        <f t="shared" ref="T55" si="89">SUM(T48:T54)</f>
        <v>9826.1500000000015</v>
      </c>
      <c r="U55" s="8">
        <f t="shared" ref="U55" si="90">SUM(U48:U54)</f>
        <v>0</v>
      </c>
      <c r="V55" s="8">
        <f t="shared" ref="V55" si="91">SUM(V48:V54)</f>
        <v>0</v>
      </c>
      <c r="W55" s="8">
        <f t="shared" ref="W55" si="92">SUM(W48:W54)</f>
        <v>0</v>
      </c>
      <c r="X55" s="8">
        <f t="shared" ref="X55" si="93">SUM(X48:X54)</f>
        <v>0</v>
      </c>
      <c r="Y55" s="8">
        <f t="shared" ref="Y55" si="94">SUM(Y48:Y54)</f>
        <v>0</v>
      </c>
      <c r="Z55" s="8">
        <f t="shared" ref="Z55" si="95">SUM(Z48:Z54)</f>
        <v>0</v>
      </c>
    </row>
    <row r="57" spans="2:26" x14ac:dyDescent="0.2">
      <c r="B57" s="8" t="s">
        <v>57</v>
      </c>
      <c r="I57" s="8">
        <v>643.1</v>
      </c>
      <c r="S57" s="8">
        <v>776.9</v>
      </c>
      <c r="T57" s="8">
        <v>1472.4</v>
      </c>
      <c r="U57" s="8">
        <f t="shared" ref="U57:U65" si="96">J57</f>
        <v>0</v>
      </c>
    </row>
    <row r="58" spans="2:26" x14ac:dyDescent="0.2">
      <c r="B58" s="8" t="s">
        <v>58</v>
      </c>
      <c r="I58" s="8">
        <v>344.7</v>
      </c>
      <c r="S58" s="8">
        <v>163.9</v>
      </c>
      <c r="T58" s="8">
        <v>259.7</v>
      </c>
      <c r="U58" s="8">
        <f t="shared" si="96"/>
        <v>0</v>
      </c>
    </row>
    <row r="59" spans="2:26" x14ac:dyDescent="0.2">
      <c r="B59" s="8" t="s">
        <v>63</v>
      </c>
      <c r="I59" s="8">
        <v>23.6</v>
      </c>
      <c r="S59" s="8">
        <v>129.19999999999999</v>
      </c>
      <c r="T59" s="8">
        <v>18.3</v>
      </c>
      <c r="U59" s="8">
        <f t="shared" si="96"/>
        <v>0</v>
      </c>
    </row>
    <row r="60" spans="2:26" x14ac:dyDescent="0.2">
      <c r="B60" s="8" t="s">
        <v>60</v>
      </c>
      <c r="I60" s="8">
        <v>63.97</v>
      </c>
      <c r="S60" s="8">
        <v>170.12</v>
      </c>
      <c r="T60" s="8">
        <v>402.4</v>
      </c>
      <c r="U60" s="8">
        <f t="shared" si="96"/>
        <v>0</v>
      </c>
    </row>
    <row r="61" spans="2:26" x14ac:dyDescent="0.2">
      <c r="B61" s="8" t="s">
        <v>62</v>
      </c>
      <c r="I61" s="8">
        <v>352.8</v>
      </c>
      <c r="S61" s="8">
        <v>134.66</v>
      </c>
      <c r="T61" s="8">
        <v>193.1</v>
      </c>
      <c r="U61" s="8">
        <f t="shared" si="96"/>
        <v>0</v>
      </c>
    </row>
    <row r="62" spans="2:26" x14ac:dyDescent="0.2">
      <c r="B62" s="8" t="s">
        <v>64</v>
      </c>
      <c r="I62" s="8">
        <v>312.99</v>
      </c>
      <c r="S62" s="8">
        <v>169.8</v>
      </c>
      <c r="T62" s="8">
        <v>223.3</v>
      </c>
      <c r="U62" s="8">
        <f t="shared" si="96"/>
        <v>0</v>
      </c>
    </row>
    <row r="63" spans="2:26" x14ac:dyDescent="0.2">
      <c r="B63" s="8" t="s">
        <v>65</v>
      </c>
      <c r="I63" s="8">
        <v>43</v>
      </c>
      <c r="S63" s="8">
        <v>120.2</v>
      </c>
      <c r="T63" s="8">
        <v>74</v>
      </c>
      <c r="U63" s="8">
        <f t="shared" si="96"/>
        <v>0</v>
      </c>
    </row>
    <row r="64" spans="2:26" x14ac:dyDescent="0.2">
      <c r="B64" s="8" t="s">
        <v>66</v>
      </c>
      <c r="I64" s="8">
        <v>2385.3000000000002</v>
      </c>
      <c r="S64" s="8">
        <v>0</v>
      </c>
      <c r="T64" s="8">
        <v>1700</v>
      </c>
      <c r="U64" s="8">
        <f t="shared" si="96"/>
        <v>0</v>
      </c>
    </row>
    <row r="65" spans="2:26" x14ac:dyDescent="0.2">
      <c r="B65" s="8" t="s">
        <v>67</v>
      </c>
      <c r="I65" s="8">
        <v>189.6</v>
      </c>
      <c r="S65" s="8">
        <v>38</v>
      </c>
      <c r="T65" s="8">
        <v>68</v>
      </c>
      <c r="U65" s="8">
        <f t="shared" si="96"/>
        <v>0</v>
      </c>
    </row>
    <row r="66" spans="2:26" x14ac:dyDescent="0.2">
      <c r="B66" s="8" t="s">
        <v>68</v>
      </c>
      <c r="C66" s="8">
        <f>SUM(C57:C65)</f>
        <v>0</v>
      </c>
      <c r="D66" s="8">
        <f>SUM(D57:D65)</f>
        <v>0</v>
      </c>
      <c r="E66" s="8">
        <f>SUM(E57:E65)</f>
        <v>0</v>
      </c>
      <c r="F66" s="8">
        <f>SUM(F57:F65)</f>
        <v>0</v>
      </c>
      <c r="G66" s="8">
        <f>SUM(G57:G65)</f>
        <v>0</v>
      </c>
      <c r="H66" s="8">
        <f>SUM(H57:H65)</f>
        <v>0</v>
      </c>
      <c r="I66" s="8">
        <f>SUM(I57:I65)</f>
        <v>4359.0600000000004</v>
      </c>
      <c r="J66" s="8">
        <f>SUM(J57:J65)</f>
        <v>0</v>
      </c>
      <c r="K66" s="8">
        <f>SUM(K57:K65)</f>
        <v>0</v>
      </c>
      <c r="L66" s="8">
        <f>SUM(L57:L65)</f>
        <v>0</v>
      </c>
      <c r="M66" s="8">
        <f>SUM(M57:M65)</f>
        <v>0</v>
      </c>
      <c r="N66" s="8">
        <f>SUM(N57:N65)</f>
        <v>0</v>
      </c>
      <c r="P66" s="8">
        <f>SUM(P57:P65)</f>
        <v>0</v>
      </c>
      <c r="Q66" s="8">
        <f>SUM(Q57:Q65)</f>
        <v>0</v>
      </c>
      <c r="R66" s="8">
        <f>SUM(R57:R65)</f>
        <v>0</v>
      </c>
      <c r="S66" s="8">
        <f>SUM(S57:S65)</f>
        <v>1702.78</v>
      </c>
      <c r="T66" s="8">
        <f>SUM(T57:T65)</f>
        <v>4411.2000000000007</v>
      </c>
      <c r="U66" s="8">
        <f>SUM(U57:U65)</f>
        <v>0</v>
      </c>
      <c r="V66" s="8">
        <f>SUM(V57:V65)</f>
        <v>0</v>
      </c>
      <c r="W66" s="8">
        <f>SUM(W57:W65)</f>
        <v>0</v>
      </c>
      <c r="X66" s="8">
        <f>SUM(X57:X65)</f>
        <v>0</v>
      </c>
      <c r="Y66" s="8">
        <f>SUM(Y57:Y65)</f>
        <v>0</v>
      </c>
      <c r="Z66" s="8">
        <f>SUM(Z57:Z65)</f>
        <v>0</v>
      </c>
    </row>
    <row r="67" spans="2:26" x14ac:dyDescent="0.2">
      <c r="B67" s="8" t="s">
        <v>69</v>
      </c>
      <c r="C67" s="8">
        <f>C55-C66</f>
        <v>0</v>
      </c>
      <c r="D67" s="8">
        <f>D55-D66</f>
        <v>0</v>
      </c>
      <c r="E67" s="8">
        <f>E55-E66</f>
        <v>0</v>
      </c>
      <c r="F67" s="8">
        <f>F55-F66</f>
        <v>0</v>
      </c>
      <c r="G67" s="8">
        <f>G55-G66</f>
        <v>0</v>
      </c>
      <c r="H67" s="8">
        <f>H55-H66</f>
        <v>0</v>
      </c>
      <c r="I67" s="8">
        <f>I55-I66</f>
        <v>6379.4400000000014</v>
      </c>
      <c r="J67" s="8">
        <f>J55-J66</f>
        <v>0</v>
      </c>
      <c r="K67" s="8">
        <f>K55-K66</f>
        <v>0</v>
      </c>
      <c r="L67" s="8">
        <f>L55-L66</f>
        <v>0</v>
      </c>
      <c r="M67" s="8">
        <f>M55-M66</f>
        <v>0</v>
      </c>
      <c r="N67" s="8">
        <f>N55-N66</f>
        <v>0</v>
      </c>
      <c r="P67" s="8">
        <f>P55-P66</f>
        <v>0</v>
      </c>
      <c r="Q67" s="8">
        <f>Q55-Q66</f>
        <v>0</v>
      </c>
      <c r="R67" s="8">
        <f>R55-R66</f>
        <v>0</v>
      </c>
      <c r="S67" s="8">
        <f>S55-S66</f>
        <v>1971.8789999999997</v>
      </c>
      <c r="T67" s="8">
        <f>T55-T66</f>
        <v>5414.9500000000007</v>
      </c>
      <c r="U67" s="8">
        <f>U55-U66</f>
        <v>0</v>
      </c>
      <c r="V67" s="8">
        <f>V55-V66</f>
        <v>0</v>
      </c>
      <c r="W67" s="8">
        <f>W55-W66</f>
        <v>0</v>
      </c>
      <c r="X67" s="8">
        <f>X55-X66</f>
        <v>0</v>
      </c>
      <c r="Y67" s="8">
        <f>Y55-Y66</f>
        <v>0</v>
      </c>
      <c r="Z67" s="8">
        <f>Z55-Z66</f>
        <v>0</v>
      </c>
    </row>
    <row r="68" spans="2:26" x14ac:dyDescent="0.2">
      <c r="B68" s="8" t="s">
        <v>70</v>
      </c>
      <c r="C68" s="8">
        <f>C66+C67</f>
        <v>0</v>
      </c>
      <c r="D68" s="8">
        <f t="shared" ref="D68:P68" si="97">D66+D67</f>
        <v>0</v>
      </c>
      <c r="E68" s="8">
        <f t="shared" si="97"/>
        <v>0</v>
      </c>
      <c r="F68" s="8">
        <f t="shared" si="97"/>
        <v>0</v>
      </c>
      <c r="G68" s="8">
        <f t="shared" si="97"/>
        <v>0</v>
      </c>
      <c r="H68" s="8">
        <f t="shared" si="97"/>
        <v>0</v>
      </c>
      <c r="I68" s="8">
        <f t="shared" si="97"/>
        <v>10738.500000000002</v>
      </c>
      <c r="J68" s="8">
        <f t="shared" si="97"/>
        <v>0</v>
      </c>
      <c r="K68" s="8">
        <f t="shared" si="97"/>
        <v>0</v>
      </c>
      <c r="L68" s="8">
        <f t="shared" si="97"/>
        <v>0</v>
      </c>
      <c r="M68" s="8">
        <f t="shared" si="97"/>
        <v>0</v>
      </c>
      <c r="N68" s="8">
        <f t="shared" si="97"/>
        <v>0</v>
      </c>
      <c r="P68" s="8">
        <f t="shared" si="97"/>
        <v>0</v>
      </c>
      <c r="Q68" s="8">
        <f t="shared" ref="Q68" si="98">Q66+Q67</f>
        <v>0</v>
      </c>
      <c r="R68" s="8">
        <f t="shared" ref="R68" si="99">R66+R67</f>
        <v>0</v>
      </c>
      <c r="S68" s="8">
        <f t="shared" ref="S68" si="100">S66+S67</f>
        <v>3674.6589999999997</v>
      </c>
      <c r="T68" s="8">
        <f t="shared" ref="T68" si="101">T66+T67</f>
        <v>9826.1500000000015</v>
      </c>
      <c r="U68" s="8">
        <f t="shared" ref="U68" si="102">U66+U67</f>
        <v>0</v>
      </c>
      <c r="V68" s="8">
        <f t="shared" ref="V68" si="103">V66+V67</f>
        <v>0</v>
      </c>
      <c r="W68" s="8">
        <f t="shared" ref="W68" si="104">W66+W67</f>
        <v>0</v>
      </c>
      <c r="X68" s="8">
        <f t="shared" ref="X68" si="105">X66+X67</f>
        <v>0</v>
      </c>
      <c r="Y68" s="8">
        <f t="shared" ref="Y68" si="106">Y66+Y67</f>
        <v>0</v>
      </c>
      <c r="Z68" s="8">
        <f t="shared" ref="Z68" si="107">Z66+Z67</f>
        <v>0</v>
      </c>
    </row>
    <row r="70" spans="2:26" x14ac:dyDescent="0.2">
      <c r="B70" s="8" t="s">
        <v>71</v>
      </c>
      <c r="C70" s="8" t="e">
        <f>C49/C20*90</f>
        <v>#DIV/0!</v>
      </c>
      <c r="D70" s="8" t="e">
        <f t="shared" ref="D70:N70" si="108">D49/D20*90</f>
        <v>#DIV/0!</v>
      </c>
      <c r="E70" s="8" t="e">
        <f t="shared" si="108"/>
        <v>#DIV/0!</v>
      </c>
      <c r="F70" s="8" t="e">
        <f t="shared" si="108"/>
        <v>#DIV/0!</v>
      </c>
      <c r="G70" s="8">
        <f t="shared" si="108"/>
        <v>0</v>
      </c>
      <c r="H70" s="8">
        <f t="shared" si="108"/>
        <v>0</v>
      </c>
      <c r="I70" s="8">
        <f t="shared" si="108"/>
        <v>51.701086956521735</v>
      </c>
      <c r="J70" s="8">
        <f t="shared" si="108"/>
        <v>0</v>
      </c>
      <c r="K70" s="8">
        <f t="shared" si="108"/>
        <v>0</v>
      </c>
      <c r="L70" s="8">
        <f t="shared" si="108"/>
        <v>0</v>
      </c>
      <c r="M70" s="8">
        <f t="shared" si="108"/>
        <v>0</v>
      </c>
      <c r="N70" s="8">
        <f t="shared" si="108"/>
        <v>0</v>
      </c>
      <c r="P70" s="8" t="e">
        <f>P49/P20*360</f>
        <v>#DIV/0!</v>
      </c>
      <c r="Q70" s="8" t="e">
        <f t="shared" ref="Q70:R70" si="109">Q49/Q20*360</f>
        <v>#DIV/0!</v>
      </c>
      <c r="R70" s="8" t="e">
        <f t="shared" si="109"/>
        <v>#DIV/0!</v>
      </c>
      <c r="S70" s="8">
        <f>S49/S20*360</f>
        <v>58.032400258303625</v>
      </c>
      <c r="T70" s="8">
        <f>T49/T20*360</f>
        <v>65.742534624929945</v>
      </c>
      <c r="U70" s="8">
        <f t="shared" ref="U70:Z70" si="110">U49/U20*360</f>
        <v>0</v>
      </c>
      <c r="V70" s="8">
        <f t="shared" si="110"/>
        <v>0</v>
      </c>
      <c r="W70" s="8">
        <f t="shared" si="110"/>
        <v>0</v>
      </c>
      <c r="X70" s="8">
        <f t="shared" si="110"/>
        <v>0</v>
      </c>
      <c r="Y70" s="8">
        <f t="shared" si="110"/>
        <v>0</v>
      </c>
      <c r="Z70" s="8">
        <f t="shared" si="110"/>
        <v>0</v>
      </c>
    </row>
    <row r="72" spans="2:26" x14ac:dyDescent="0.2">
      <c r="B72" s="8" t="s">
        <v>72</v>
      </c>
      <c r="C72" s="8">
        <f>C32</f>
        <v>0</v>
      </c>
      <c r="D72" s="8">
        <f t="shared" ref="D72:N72" si="111">D32</f>
        <v>0</v>
      </c>
      <c r="E72" s="8">
        <f t="shared" si="111"/>
        <v>0</v>
      </c>
      <c r="F72" s="8">
        <f t="shared" si="111"/>
        <v>0</v>
      </c>
      <c r="G72" s="8">
        <f t="shared" si="111"/>
        <v>424.39999999999964</v>
      </c>
      <c r="H72" s="8">
        <f t="shared" si="111"/>
        <v>318.30000000000035</v>
      </c>
      <c r="I72" s="8">
        <f t="shared" si="111"/>
        <v>110</v>
      </c>
      <c r="J72" s="8">
        <f t="shared" si="111"/>
        <v>285.55487608695654</v>
      </c>
      <c r="K72" s="8">
        <f t="shared" si="111"/>
        <v>380.83050510489136</v>
      </c>
      <c r="L72" s="8">
        <f t="shared" si="111"/>
        <v>400.6813246971526</v>
      </c>
      <c r="M72" s="8">
        <f t="shared" si="111"/>
        <v>421.27158167617142</v>
      </c>
      <c r="N72" s="8">
        <f t="shared" si="111"/>
        <v>662.69740799517285</v>
      </c>
      <c r="R72" s="8">
        <f>R32</f>
        <v>0</v>
      </c>
      <c r="S72" s="8">
        <f t="shared" ref="S72:Z72" si="112">S32</f>
        <v>650.64</v>
      </c>
      <c r="T72" s="8">
        <f t="shared" si="112"/>
        <v>1150.9500000000014</v>
      </c>
      <c r="U72" s="8">
        <f t="shared" si="112"/>
        <v>1138.2548760869565</v>
      </c>
      <c r="V72" s="8">
        <f t="shared" si="112"/>
        <v>1567.6592825249977</v>
      </c>
      <c r="W72" s="8">
        <f t="shared" si="112"/>
        <v>1910.5882778700627</v>
      </c>
      <c r="X72" s="8">
        <f t="shared" si="112"/>
        <v>2313.9121230787987</v>
      </c>
      <c r="Y72" s="8">
        <f t="shared" si="112"/>
        <v>2787.6255667659093</v>
      </c>
      <c r="Z72" s="8">
        <f t="shared" si="112"/>
        <v>3343.3424116826295</v>
      </c>
    </row>
    <row r="73" spans="2:26" x14ac:dyDescent="0.2">
      <c r="B73" s="8" t="s">
        <v>73</v>
      </c>
      <c r="I73" s="8">
        <v>853.7</v>
      </c>
      <c r="R73" s="8">
        <v>285.2</v>
      </c>
      <c r="S73" s="8">
        <v>640</v>
      </c>
      <c r="T73" s="8">
        <v>1152.7</v>
      </c>
    </row>
    <row r="74" spans="2:26" x14ac:dyDescent="0.2">
      <c r="B74" s="8" t="s">
        <v>74</v>
      </c>
      <c r="I74" s="8">
        <v>39.700000000000003</v>
      </c>
      <c r="R74" s="8">
        <v>32.5</v>
      </c>
      <c r="S74" s="8">
        <v>35</v>
      </c>
      <c r="T74" s="8">
        <v>41</v>
      </c>
    </row>
    <row r="75" spans="2:26" x14ac:dyDescent="0.2">
      <c r="B75" s="8" t="s">
        <v>75</v>
      </c>
      <c r="I75" s="8">
        <v>230.84</v>
      </c>
      <c r="R75" s="8">
        <v>32.799999999999997</v>
      </c>
      <c r="S75" s="8">
        <v>54.4</v>
      </c>
      <c r="T75" s="8">
        <v>231.5</v>
      </c>
    </row>
    <row r="76" spans="2:26" x14ac:dyDescent="0.2">
      <c r="B76" s="8" t="s">
        <v>76</v>
      </c>
      <c r="I76" s="8">
        <v>-2</v>
      </c>
      <c r="R76" s="8">
        <v>-1.2</v>
      </c>
      <c r="S76" s="8">
        <v>3.6</v>
      </c>
      <c r="T76" s="8">
        <v>-1.8</v>
      </c>
    </row>
    <row r="77" spans="2:26" x14ac:dyDescent="0.2">
      <c r="B77" s="8" t="s">
        <v>83</v>
      </c>
      <c r="I77" s="8">
        <v>2.7</v>
      </c>
      <c r="R77" s="8">
        <v>-13.7</v>
      </c>
      <c r="S77" s="8">
        <v>-2.6</v>
      </c>
      <c r="T77" s="8">
        <v>-0.5</v>
      </c>
    </row>
    <row r="78" spans="2:26" x14ac:dyDescent="0.2">
      <c r="B78" s="8" t="s">
        <v>54</v>
      </c>
      <c r="I78" s="8">
        <v>-134.4</v>
      </c>
      <c r="R78" s="8">
        <v>-6.8</v>
      </c>
      <c r="S78" s="8">
        <v>-93</v>
      </c>
      <c r="T78" s="8">
        <v>-168.5</v>
      </c>
    </row>
    <row r="79" spans="2:26" x14ac:dyDescent="0.2">
      <c r="B79" s="8" t="s">
        <v>77</v>
      </c>
      <c r="I79" s="8">
        <v>5.6</v>
      </c>
      <c r="R79" s="8">
        <v>0.4</v>
      </c>
      <c r="S79" s="8">
        <v>-0.7</v>
      </c>
      <c r="T79" s="8">
        <v>12.3</v>
      </c>
    </row>
    <row r="80" spans="2:26" x14ac:dyDescent="0.2">
      <c r="B80" s="8" t="s">
        <v>50</v>
      </c>
      <c r="I80" s="8">
        <v>94.8</v>
      </c>
      <c r="R80" s="8">
        <v>-372.4</v>
      </c>
      <c r="S80" s="8">
        <v>-311.89999999999998</v>
      </c>
      <c r="T80" s="8">
        <v>-1589</v>
      </c>
    </row>
    <row r="81" spans="1:122" x14ac:dyDescent="0.2">
      <c r="B81" s="8" t="s">
        <v>51</v>
      </c>
      <c r="I81" s="8">
        <v>457.9</v>
      </c>
      <c r="R81" s="8">
        <v>-504.6</v>
      </c>
      <c r="S81" s="8">
        <v>100</v>
      </c>
      <c r="T81" s="8">
        <v>-2900</v>
      </c>
    </row>
    <row r="82" spans="1:122" x14ac:dyDescent="0.2">
      <c r="B82" s="8" t="s">
        <v>52</v>
      </c>
      <c r="I82" s="8">
        <v>-284.3</v>
      </c>
      <c r="R82" s="8">
        <v>-29</v>
      </c>
      <c r="S82" s="8">
        <v>8.3000000000000007</v>
      </c>
      <c r="T82" s="8">
        <v>-44.7</v>
      </c>
    </row>
    <row r="83" spans="1:122" x14ac:dyDescent="0.2">
      <c r="B83" s="8" t="s">
        <v>57</v>
      </c>
      <c r="I83" s="8">
        <v>-811.7</v>
      </c>
      <c r="R83" s="8">
        <v>50.1</v>
      </c>
      <c r="S83" s="8">
        <v>127.1</v>
      </c>
      <c r="T83" s="8">
        <v>679.2</v>
      </c>
    </row>
    <row r="84" spans="1:122" x14ac:dyDescent="0.2">
      <c r="B84" s="8" t="s">
        <v>78</v>
      </c>
      <c r="I84" s="8">
        <v>52.7</v>
      </c>
      <c r="R84" s="8">
        <v>36</v>
      </c>
      <c r="S84" s="8">
        <v>-50.3</v>
      </c>
      <c r="T84" s="8">
        <v>93</v>
      </c>
    </row>
    <row r="85" spans="1:122" x14ac:dyDescent="0.2">
      <c r="B85" s="8" t="s">
        <v>59</v>
      </c>
      <c r="I85" s="8">
        <v>5.4</v>
      </c>
      <c r="R85" s="8">
        <v>29</v>
      </c>
      <c r="S85" s="8">
        <v>87.4</v>
      </c>
      <c r="T85" s="8">
        <v>-111</v>
      </c>
    </row>
    <row r="86" spans="1:122" x14ac:dyDescent="0.2">
      <c r="B86" s="8" t="s">
        <v>61</v>
      </c>
      <c r="I86" s="8">
        <v>250</v>
      </c>
      <c r="R86" s="8">
        <v>31.6</v>
      </c>
      <c r="S86" s="8">
        <v>70.599999999999994</v>
      </c>
      <c r="T86" s="8">
        <v>112</v>
      </c>
    </row>
    <row r="87" spans="1:122" x14ac:dyDescent="0.2">
      <c r="B87" s="8" t="s">
        <v>67</v>
      </c>
      <c r="I87" s="8">
        <v>5.4</v>
      </c>
      <c r="R87" s="8">
        <v>-10.5</v>
      </c>
      <c r="S87" s="8">
        <v>-4.4000000000000004</v>
      </c>
      <c r="T87" s="8">
        <v>8.0399999999999991</v>
      </c>
    </row>
    <row r="88" spans="1:122" s="2" customFormat="1" ht="15" x14ac:dyDescent="0.25">
      <c r="A88" s="8"/>
      <c r="B88" s="2" t="s">
        <v>16</v>
      </c>
      <c r="C88" s="2">
        <f>SUM(C73:C87)</f>
        <v>0</v>
      </c>
      <c r="D88" s="2">
        <f t="shared" ref="D88:H88" si="113">SUM(D73:D87)</f>
        <v>0</v>
      </c>
      <c r="E88" s="2">
        <f t="shared" si="113"/>
        <v>0</v>
      </c>
      <c r="F88" s="2">
        <f t="shared" si="113"/>
        <v>0</v>
      </c>
      <c r="G88" s="2">
        <f t="shared" si="113"/>
        <v>0</v>
      </c>
      <c r="H88" s="2">
        <f t="shared" si="113"/>
        <v>0</v>
      </c>
      <c r="I88" s="2">
        <f>SUM(I73:I87)</f>
        <v>766.34</v>
      </c>
      <c r="J88" s="2">
        <f>SUM(J74:J87,J72)</f>
        <v>285.55487608695654</v>
      </c>
      <c r="K88" s="2">
        <f t="shared" ref="K88:N88" si="114">SUM(K74:K87,K72)</f>
        <v>380.83050510489136</v>
      </c>
      <c r="L88" s="2">
        <f t="shared" si="114"/>
        <v>400.6813246971526</v>
      </c>
      <c r="M88" s="2">
        <f t="shared" si="114"/>
        <v>421.27158167617142</v>
      </c>
      <c r="N88" s="2">
        <f t="shared" si="114"/>
        <v>662.69740799517285</v>
      </c>
      <c r="R88" s="2">
        <f>SUM(R73:R87)</f>
        <v>-440.59999999999991</v>
      </c>
      <c r="S88" s="2">
        <f>SUM(S73:S87)</f>
        <v>663.5</v>
      </c>
      <c r="T88" s="2">
        <f>SUM(T73:T87)</f>
        <v>-2485.7600000000002</v>
      </c>
      <c r="U88" s="2">
        <f>SUM(U74:U87,U72)</f>
        <v>1138.2548760869565</v>
      </c>
      <c r="V88" s="2">
        <f>SUM(V74:V87,V72)</f>
        <v>1567.6592825249977</v>
      </c>
      <c r="W88" s="2">
        <f>SUM(W74:W87,W72)</f>
        <v>1910.5882778700627</v>
      </c>
      <c r="X88" s="2">
        <f>SUM(X74:X87,X72)</f>
        <v>2313.9121230787987</v>
      </c>
      <c r="Y88" s="2">
        <f>SUM(Y74:Y87,Y72)</f>
        <v>2787.6255667659093</v>
      </c>
      <c r="Z88" s="2">
        <f>SUM(Z74:Z87,Z72)</f>
        <v>3343.3424116826295</v>
      </c>
    </row>
    <row r="89" spans="1:122" x14ac:dyDescent="0.2">
      <c r="B89" s="8" t="s">
        <v>79</v>
      </c>
      <c r="I89" s="8">
        <v>-104.5</v>
      </c>
      <c r="R89" s="8">
        <v>-45.2</v>
      </c>
      <c r="S89" s="8">
        <v>-36.799999999999997</v>
      </c>
      <c r="T89" s="8">
        <v>-124.3</v>
      </c>
    </row>
    <row r="90" spans="1:122" x14ac:dyDescent="0.2">
      <c r="B90" s="8" t="s">
        <v>80</v>
      </c>
      <c r="I90" s="8">
        <v>0</v>
      </c>
      <c r="R90" s="8">
        <v>-1.1000000000000001</v>
      </c>
      <c r="S90" s="8">
        <v>-0.5</v>
      </c>
      <c r="T90" s="8">
        <v>-69.7</v>
      </c>
    </row>
    <row r="91" spans="1:122" x14ac:dyDescent="0.2">
      <c r="B91" s="8" t="s">
        <v>81</v>
      </c>
      <c r="I91" s="8">
        <v>0</v>
      </c>
      <c r="R91" s="8">
        <v>0</v>
      </c>
      <c r="S91" s="8">
        <v>-2.2000000000000002</v>
      </c>
      <c r="T91" s="8">
        <v>-0.3</v>
      </c>
    </row>
    <row r="92" spans="1:122" s="2" customFormat="1" ht="15" x14ac:dyDescent="0.25">
      <c r="A92" s="8"/>
      <c r="B92" s="2" t="s">
        <v>82</v>
      </c>
      <c r="C92" s="2">
        <f>C89</f>
        <v>0</v>
      </c>
      <c r="D92" s="2">
        <f t="shared" ref="D92:N92" si="115">D89</f>
        <v>0</v>
      </c>
      <c r="E92" s="2">
        <f t="shared" si="115"/>
        <v>0</v>
      </c>
      <c r="F92" s="2">
        <f t="shared" si="115"/>
        <v>0</v>
      </c>
      <c r="G92" s="2">
        <f t="shared" si="115"/>
        <v>0</v>
      </c>
      <c r="H92" s="2">
        <f t="shared" si="115"/>
        <v>0</v>
      </c>
      <c r="I92" s="2">
        <f t="shared" si="115"/>
        <v>-104.5</v>
      </c>
      <c r="J92" s="2">
        <v>-50</v>
      </c>
      <c r="K92" s="2">
        <f t="shared" si="115"/>
        <v>0</v>
      </c>
      <c r="L92" s="2">
        <f t="shared" si="115"/>
        <v>0</v>
      </c>
      <c r="M92" s="2">
        <f t="shared" si="115"/>
        <v>0</v>
      </c>
      <c r="N92" s="2">
        <f t="shared" si="115"/>
        <v>0</v>
      </c>
      <c r="R92" s="2">
        <f>R89</f>
        <v>-45.2</v>
      </c>
      <c r="S92" s="2">
        <f t="shared" ref="S92:Z92" si="116">S89</f>
        <v>-36.799999999999997</v>
      </c>
      <c r="T92" s="2">
        <f t="shared" si="116"/>
        <v>-124.3</v>
      </c>
      <c r="U92" s="2">
        <f t="shared" si="116"/>
        <v>0</v>
      </c>
      <c r="V92" s="2">
        <f t="shared" si="116"/>
        <v>0</v>
      </c>
      <c r="W92" s="2">
        <f t="shared" si="116"/>
        <v>0</v>
      </c>
      <c r="X92" s="2">
        <f t="shared" si="116"/>
        <v>0</v>
      </c>
      <c r="Y92" s="2">
        <f t="shared" si="116"/>
        <v>0</v>
      </c>
      <c r="Z92" s="2">
        <f t="shared" si="116"/>
        <v>0</v>
      </c>
    </row>
    <row r="93" spans="1:122" s="2" customFormat="1" ht="15" x14ac:dyDescent="0.25">
      <c r="A93" s="8"/>
      <c r="B93" s="2" t="s">
        <v>15</v>
      </c>
      <c r="C93" s="2">
        <f>C88+C92</f>
        <v>0</v>
      </c>
      <c r="D93" s="2">
        <f t="shared" ref="D93:N93" si="117">D88+D92</f>
        <v>0</v>
      </c>
      <c r="E93" s="2">
        <f t="shared" si="117"/>
        <v>0</v>
      </c>
      <c r="F93" s="2">
        <f t="shared" si="117"/>
        <v>0</v>
      </c>
      <c r="G93" s="2">
        <f t="shared" si="117"/>
        <v>0</v>
      </c>
      <c r="H93" s="2">
        <f t="shared" si="117"/>
        <v>0</v>
      </c>
      <c r="I93" s="2">
        <f t="shared" si="117"/>
        <v>661.84</v>
      </c>
      <c r="J93" s="2">
        <f t="shared" si="117"/>
        <v>235.55487608695654</v>
      </c>
      <c r="K93" s="2">
        <f t="shared" si="117"/>
        <v>380.83050510489136</v>
      </c>
      <c r="L93" s="2">
        <f t="shared" si="117"/>
        <v>400.6813246971526</v>
      </c>
      <c r="M93" s="2">
        <f t="shared" si="117"/>
        <v>421.27158167617142</v>
      </c>
      <c r="N93" s="2">
        <f t="shared" si="117"/>
        <v>662.69740799517285</v>
      </c>
      <c r="R93" s="2">
        <f>R88+R92</f>
        <v>-485.7999999999999</v>
      </c>
      <c r="S93" s="2">
        <f t="shared" ref="S93:T93" si="118">S88+S92</f>
        <v>626.70000000000005</v>
      </c>
      <c r="T93" s="2">
        <f t="shared" si="118"/>
        <v>-2610.0600000000004</v>
      </c>
      <c r="U93" s="2">
        <f t="shared" ref="U93" si="119">U88+U92</f>
        <v>1138.2548760869565</v>
      </c>
      <c r="V93" s="2">
        <f t="shared" ref="V93" si="120">V88+V92</f>
        <v>1567.6592825249977</v>
      </c>
      <c r="W93" s="2">
        <f t="shared" ref="W93" si="121">W88+W92</f>
        <v>1910.5882778700627</v>
      </c>
      <c r="X93" s="2">
        <f t="shared" ref="X93" si="122">X88+X92</f>
        <v>2313.9121230787987</v>
      </c>
      <c r="Y93" s="2">
        <f t="shared" ref="Y93" si="123">Y88+Y92</f>
        <v>2787.6255667659093</v>
      </c>
      <c r="Z93" s="2">
        <f t="shared" ref="Z93" si="124">Z88+Z92</f>
        <v>3343.3424116826295</v>
      </c>
      <c r="AA93" s="2">
        <f>Z93*(1+$AC$36)</f>
        <v>3376.7758357994558</v>
      </c>
      <c r="AB93" s="2">
        <f>AA93*(1+$AC$36)</f>
        <v>3410.5435941574506</v>
      </c>
      <c r="AC93" s="2">
        <f>AB93*(1+$AC$36)</f>
        <v>3444.6490300990249</v>
      </c>
      <c r="AD93" s="2">
        <f>AC93*(1+$AC$36)</f>
        <v>3479.0955204000152</v>
      </c>
      <c r="AE93" s="2">
        <f>AD93*(1+$AC$36)</f>
        <v>3513.8864756040152</v>
      </c>
      <c r="AF93" s="2">
        <f>AE93*(1+$AC$36)</f>
        <v>3549.0253403600555</v>
      </c>
      <c r="AG93" s="2">
        <f>AF93*(1+$AC$36)</f>
        <v>3584.5155937636559</v>
      </c>
      <c r="AH93" s="2">
        <f>AG93*(1+$AC$36)</f>
        <v>3620.3607497012927</v>
      </c>
      <c r="AI93" s="2">
        <f>AH93*(1+$AC$36)</f>
        <v>3656.5643571983055</v>
      </c>
      <c r="AJ93" s="2">
        <f>AI93*(1+$AC$36)</f>
        <v>3693.1300007702885</v>
      </c>
      <c r="AK93" s="2">
        <f>AJ93*(1+$AC$36)</f>
        <v>3730.0613007779912</v>
      </c>
      <c r="AL93" s="2">
        <f>AK93*(1+$AC$36)</f>
        <v>3767.3619137857713</v>
      </c>
      <c r="AM93" s="2">
        <f>AL93*(1+$AC$36)</f>
        <v>3805.035532923629</v>
      </c>
      <c r="AN93" s="2">
        <f>AM93*(1+$AC$36)</f>
        <v>3843.0858882528655</v>
      </c>
      <c r="AO93" s="2">
        <f>AN93*(1+$AC$36)</f>
        <v>3881.5167471353943</v>
      </c>
      <c r="AP93" s="2">
        <f>AO93*(1+$AC$36)</f>
        <v>3920.3319146067483</v>
      </c>
      <c r="AQ93" s="2">
        <f>AP93*(1+$AC$36)</f>
        <v>3959.5352337528157</v>
      </c>
      <c r="AR93" s="2">
        <f>AQ93*(1+$AC$36)</f>
        <v>3999.130586090344</v>
      </c>
      <c r="AS93" s="2">
        <f>AR93*(1+$AC$36)</f>
        <v>4039.1218919512476</v>
      </c>
      <c r="AT93" s="2">
        <f>AS93*(1+$AC$36)</f>
        <v>4079.5131108707601</v>
      </c>
      <c r="AU93" s="2">
        <f>AT93*(1+$AC$36)</f>
        <v>4120.3082419794673</v>
      </c>
      <c r="AV93" s="2">
        <f>AU93*(1+$AC$36)</f>
        <v>4161.5113243992619</v>
      </c>
      <c r="AW93" s="2">
        <f>AV93*(1+$AC$36)</f>
        <v>4203.1264376432546</v>
      </c>
      <c r="AX93" s="2">
        <f>AW93*(1+$AC$36)</f>
        <v>4245.1577020196873</v>
      </c>
      <c r="AY93" s="2">
        <f>AX93*(1+$AC$36)</f>
        <v>4287.6092790398843</v>
      </c>
      <c r="AZ93" s="2">
        <f>AY93*(1+$AC$36)</f>
        <v>4330.4853718302829</v>
      </c>
      <c r="BA93" s="2">
        <f>AZ93*(1+$AC$36)</f>
        <v>4373.790225548586</v>
      </c>
      <c r="BB93" s="2">
        <f>BA93*(1+$AC$36)</f>
        <v>4417.528127804072</v>
      </c>
      <c r="BC93" s="2">
        <f>BB93*(1+$AC$36)</f>
        <v>4461.7034090821126</v>
      </c>
      <c r="BD93" s="2">
        <f>BC93*(1+$AC$36)</f>
        <v>4506.3204431729337</v>
      </c>
      <c r="BE93" s="2">
        <f>BD93*(1+$AC$36)</f>
        <v>4551.3836476046627</v>
      </c>
      <c r="BF93" s="2">
        <f>BE93*(1+$AC$36)</f>
        <v>4596.8974840807095</v>
      </c>
      <c r="BG93" s="2">
        <f>BF93*(1+$AC$36)</f>
        <v>4642.8664589215168</v>
      </c>
      <c r="BH93" s="2">
        <f>BG93*(1+$AC$36)</f>
        <v>4689.2951235107321</v>
      </c>
      <c r="BI93" s="2">
        <f>BH93*(1+$AC$36)</f>
        <v>4736.188074745839</v>
      </c>
      <c r="BJ93" s="2">
        <f>BI93*(1+$AC$36)</f>
        <v>4783.5499554932976</v>
      </c>
      <c r="BK93" s="2">
        <f>BJ93*(1+$AC$36)</f>
        <v>4831.3854550482311</v>
      </c>
      <c r="BL93" s="2">
        <f>BK93*(1+$AC$36)</f>
        <v>4879.6993095987136</v>
      </c>
      <c r="BM93" s="2">
        <f>BL93*(1+$AC$36)</f>
        <v>4928.4963026947007</v>
      </c>
      <c r="BN93" s="2">
        <f>BM93*(1+$AC$36)</f>
        <v>4977.7812657216482</v>
      </c>
      <c r="BO93" s="2">
        <f>BN93*(1+$AC$36)</f>
        <v>5027.5590783788648</v>
      </c>
      <c r="BP93" s="2">
        <f>BO93*(1+$AC$36)</f>
        <v>5077.8346691626539</v>
      </c>
      <c r="BQ93" s="2">
        <f>BP93*(1+$AC$36)</f>
        <v>5128.6130158542801</v>
      </c>
      <c r="BR93" s="2">
        <f>BQ93*(1+$AC$36)</f>
        <v>5179.8991460128227</v>
      </c>
      <c r="BS93" s="2">
        <f>BR93*(1+$AC$36)</f>
        <v>5231.6981374729512</v>
      </c>
      <c r="BT93" s="2">
        <f>BS93*(1+$AC$36)</f>
        <v>5284.0151188476812</v>
      </c>
      <c r="BU93" s="2">
        <f>BT93*(1+$AC$36)</f>
        <v>5336.8552700361579</v>
      </c>
      <c r="BV93" s="2">
        <f>BU93*(1+$AC$36)</f>
        <v>5390.2238227365197</v>
      </c>
      <c r="BW93" s="2">
        <f>BV93*(1+$AC$36)</f>
        <v>5444.1260609638848</v>
      </c>
      <c r="BX93" s="2">
        <f>BW93*(1+$AC$36)</f>
        <v>5498.5673215735233</v>
      </c>
      <c r="BY93" s="2">
        <f>BX93*(1+$AC$36)</f>
        <v>5553.5529947892583</v>
      </c>
      <c r="BZ93" s="2">
        <f>BY93*(1+$AC$36)</f>
        <v>5609.0885247371507</v>
      </c>
      <c r="CA93" s="2">
        <f>BZ93*(1+$AC$36)</f>
        <v>5665.179409984522</v>
      </c>
      <c r="CB93" s="2">
        <f>CA93*(1+$AC$36)</f>
        <v>5721.8312040843675</v>
      </c>
      <c r="CC93" s="2">
        <f>CB93*(1+$AC$36)</f>
        <v>5779.0495161252111</v>
      </c>
      <c r="CD93" s="2">
        <f>CC93*(1+$AC$36)</f>
        <v>5836.8400112864629</v>
      </c>
      <c r="CE93" s="2">
        <f>CD93*(1+$AC$36)</f>
        <v>5895.2084113993278</v>
      </c>
      <c r="CF93" s="2">
        <f>CE93*(1+$AC$36)</f>
        <v>5954.1604955133207</v>
      </c>
      <c r="CG93" s="2">
        <f>CF93*(1+$AC$36)</f>
        <v>6013.7021004684539</v>
      </c>
      <c r="CH93" s="2">
        <f>CG93*(1+$AC$36)</f>
        <v>6073.8391214731382</v>
      </c>
      <c r="CI93" s="2">
        <f>CH93*(1+$AC$36)</f>
        <v>6134.5775126878698</v>
      </c>
      <c r="CJ93" s="2">
        <f>CI93*(1+$AC$36)</f>
        <v>6195.9232878147486</v>
      </c>
      <c r="CK93" s="2">
        <f>CJ93*(1+$AC$36)</f>
        <v>6257.8825206928959</v>
      </c>
      <c r="CL93" s="2">
        <f>CK93*(1+$AC$36)</f>
        <v>6320.4613458998247</v>
      </c>
      <c r="CM93" s="2">
        <f>CL93*(1+$AC$36)</f>
        <v>6383.6659593588229</v>
      </c>
      <c r="CN93" s="2">
        <f>CM93*(1+$AC$36)</f>
        <v>6447.5026189524115</v>
      </c>
      <c r="CO93" s="2">
        <f>CN93*(1+$AC$36)</f>
        <v>6511.9776451419357</v>
      </c>
      <c r="CP93" s="2">
        <f>CO93*(1+$AC$36)</f>
        <v>6577.0974215933547</v>
      </c>
      <c r="CQ93" s="2">
        <f>CP93*(1+$AC$36)</f>
        <v>6642.8683958092879</v>
      </c>
      <c r="CR93" s="2">
        <f>CQ93*(1+$AC$36)</f>
        <v>6709.2970797673806</v>
      </c>
      <c r="CS93" s="2">
        <f>CR93*(1+$AC$36)</f>
        <v>6776.3900505650545</v>
      </c>
      <c r="CT93" s="2">
        <f>CS93*(1+$AC$36)</f>
        <v>6844.1539510707053</v>
      </c>
      <c r="CU93" s="2">
        <f>CT93*(1+$AC$36)</f>
        <v>6912.5954905814124</v>
      </c>
      <c r="CV93" s="2">
        <f>CU93*(1+$AC$36)</f>
        <v>6981.7214454872264</v>
      </c>
      <c r="CW93" s="2">
        <f>CV93*(1+$AC$36)</f>
        <v>7051.538659942099</v>
      </c>
      <c r="CX93" s="2">
        <f>CW93*(1+$AC$36)</f>
        <v>7122.0540465415197</v>
      </c>
      <c r="CY93" s="2">
        <f>CX93*(1+$AC$36)</f>
        <v>7193.2745870069348</v>
      </c>
      <c r="CZ93" s="2">
        <f>CY93*(1+$AC$36)</f>
        <v>7265.2073328770039</v>
      </c>
      <c r="DA93" s="2">
        <f>CZ93*(1+$AC$36)</f>
        <v>7337.8594062057737</v>
      </c>
      <c r="DB93" s="2">
        <f>DA93*(1+$AC$36)</f>
        <v>7411.2380002678319</v>
      </c>
      <c r="DC93" s="2">
        <f>DB93*(1+$AC$36)</f>
        <v>7485.35038027051</v>
      </c>
      <c r="DD93" s="2">
        <f>DC93*(1+$AC$36)</f>
        <v>7560.2038840732148</v>
      </c>
      <c r="DE93" s="2">
        <f>DD93*(1+$AC$36)</f>
        <v>7635.8059229139471</v>
      </c>
      <c r="DF93" s="2">
        <f>DE93*(1+$AC$36)</f>
        <v>7712.1639821430863</v>
      </c>
      <c r="DG93" s="2">
        <f>DF93*(1+$AC$36)</f>
        <v>7789.2856219645173</v>
      </c>
      <c r="DH93" s="2">
        <f>DG93*(1+$AC$36)</f>
        <v>7867.1784781841625</v>
      </c>
      <c r="DI93" s="2">
        <f>DH93*(1+$AC$36)</f>
        <v>7945.8502629660043</v>
      </c>
      <c r="DJ93" s="2">
        <f>DI93*(1+$AC$36)</f>
        <v>8025.3087655956642</v>
      </c>
      <c r="DK93" s="2">
        <f>DJ93*(1+$AC$36)</f>
        <v>8105.561853251621</v>
      </c>
      <c r="DL93" s="2">
        <f>DK93*(1+$AC$36)</f>
        <v>8186.6174717841368</v>
      </c>
      <c r="DM93" s="2">
        <f>DL93*(1+$AC$36)</f>
        <v>8268.483646501978</v>
      </c>
      <c r="DN93" s="2">
        <f>DM93*(1+$AC$36)</f>
        <v>8351.1684829669975</v>
      </c>
      <c r="DO93" s="2">
        <f>DN93*(1+$AC$36)</f>
        <v>8434.6801677966669</v>
      </c>
      <c r="DP93" s="2">
        <f>DO93*(1+$AC$36)</f>
        <v>8519.026969474633</v>
      </c>
      <c r="DQ93" s="2">
        <f>DP93*(1+$AC$36)</f>
        <v>8604.2172391693803</v>
      </c>
      <c r="DR93" s="2">
        <f>DQ93*(1+$AC$36)</f>
        <v>8690.2594115610736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2025-05-13T06:06:30Z</dcterms:modified>
</cp:coreProperties>
</file>