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ED62ABF5-37D7-4A61-A132-F1C573E6AC5F}" xr6:coauthVersionLast="47" xr6:coauthVersionMax="47" xr10:uidLastSave="{00000000-0000-0000-0000-000000000000}"/>
  <bookViews>
    <workbookView xWindow="4635" yWindow="585" windowWidth="23670" windowHeight="14145" xr2:uid="{97FBD9E3-1932-42E7-BB98-5F86DEFF785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2" l="1"/>
  <c r="V8" i="2" s="1"/>
  <c r="W8" i="2" s="1"/>
  <c r="X8" i="2" s="1"/>
  <c r="Y8" i="2" s="1"/>
  <c r="K2" i="2"/>
  <c r="K6" i="2"/>
  <c r="K11" i="2"/>
  <c r="K12" i="2" s="1"/>
  <c r="K16" i="2" s="1"/>
  <c r="J35" i="2"/>
  <c r="I35" i="2"/>
  <c r="J60" i="2"/>
  <c r="J59" i="2"/>
  <c r="K15" i="2"/>
  <c r="E2" i="1"/>
  <c r="D5" i="1"/>
  <c r="U29" i="2"/>
  <c r="V29" i="2" s="1"/>
  <c r="W29" i="2" s="1"/>
  <c r="X29" i="2" s="1"/>
  <c r="Y29" i="2" s="1"/>
  <c r="T2" i="2"/>
  <c r="T5" i="2" s="1"/>
  <c r="J6" i="2"/>
  <c r="J2" i="2"/>
  <c r="P25" i="2"/>
  <c r="P29" i="2"/>
  <c r="O29" i="2"/>
  <c r="O23" i="2"/>
  <c r="P23" i="2"/>
  <c r="P15" i="2"/>
  <c r="P16" i="2" s="1"/>
  <c r="P18" i="2" s="1"/>
  <c r="P27" i="2" s="1"/>
  <c r="O15" i="2"/>
  <c r="O16" i="2" s="1"/>
  <c r="O18" i="2" s="1"/>
  <c r="O27" i="2" s="1"/>
  <c r="Q30" i="2"/>
  <c r="S5" i="2"/>
  <c r="P5" i="2"/>
  <c r="Q5" i="2"/>
  <c r="R5" i="2"/>
  <c r="O5" i="2"/>
  <c r="S4" i="2"/>
  <c r="R4" i="2"/>
  <c r="Q4" i="2"/>
  <c r="P4" i="2"/>
  <c r="O4" i="2"/>
  <c r="N4" i="2"/>
  <c r="N1" i="2"/>
  <c r="O1" i="2" s="1"/>
  <c r="P1" i="2" s="1"/>
  <c r="F4" i="2"/>
  <c r="G4" i="2"/>
  <c r="H4" i="2"/>
  <c r="I4" i="2"/>
  <c r="E4" i="2"/>
  <c r="C15" i="2"/>
  <c r="D15" i="2"/>
  <c r="E15" i="2"/>
  <c r="C11" i="2"/>
  <c r="D11" i="2"/>
  <c r="C8" i="2"/>
  <c r="C12" i="2" s="1"/>
  <c r="D8" i="2"/>
  <c r="D12" i="2" s="1"/>
  <c r="E8" i="2"/>
  <c r="E12" i="2" s="1"/>
  <c r="E29" i="2" s="1"/>
  <c r="E51" i="2"/>
  <c r="E57" i="2"/>
  <c r="I46" i="2"/>
  <c r="E46" i="2"/>
  <c r="C33" i="2"/>
  <c r="D33" i="2"/>
  <c r="E33" i="2"/>
  <c r="F33" i="2"/>
  <c r="G33" i="2"/>
  <c r="H33" i="2"/>
  <c r="I33" i="2"/>
  <c r="J33" i="2"/>
  <c r="B33" i="2"/>
  <c r="B35" i="2"/>
  <c r="B15" i="2"/>
  <c r="B11" i="2"/>
  <c r="B8" i="2"/>
  <c r="I82" i="2"/>
  <c r="I60" i="2"/>
  <c r="I59" i="2"/>
  <c r="E82" i="2"/>
  <c r="E60" i="2"/>
  <c r="E59" i="2"/>
  <c r="C75" i="2"/>
  <c r="D75" i="2"/>
  <c r="F75" i="2"/>
  <c r="G75" i="2"/>
  <c r="H75" i="2"/>
  <c r="J75" i="2"/>
  <c r="C82" i="2"/>
  <c r="D82" i="2"/>
  <c r="F82" i="2"/>
  <c r="G82" i="2"/>
  <c r="H82" i="2"/>
  <c r="J82" i="2"/>
  <c r="B82" i="2"/>
  <c r="B75" i="2"/>
  <c r="C35" i="2"/>
  <c r="D35" i="2"/>
  <c r="F35" i="2"/>
  <c r="G35" i="2"/>
  <c r="H35" i="2"/>
  <c r="Q35" i="2"/>
  <c r="K17" i="2"/>
  <c r="F15" i="2"/>
  <c r="G15" i="2"/>
  <c r="H15" i="2"/>
  <c r="I15" i="2"/>
  <c r="I8" i="2"/>
  <c r="I12" i="2" s="1"/>
  <c r="G8" i="2"/>
  <c r="H8" i="2"/>
  <c r="H84" i="2" s="1"/>
  <c r="R33" i="2"/>
  <c r="S33" i="2"/>
  <c r="Q33" i="2"/>
  <c r="S59" i="2"/>
  <c r="S35" i="2" s="1"/>
  <c r="T17" i="2" s="1"/>
  <c r="R59" i="2"/>
  <c r="R35" i="2" s="1"/>
  <c r="R15" i="2"/>
  <c r="S15" i="2"/>
  <c r="Q15" i="2"/>
  <c r="R11" i="2"/>
  <c r="S11" i="2"/>
  <c r="Q11" i="2"/>
  <c r="R8" i="2"/>
  <c r="R30" i="2" s="1"/>
  <c r="S8" i="2"/>
  <c r="S84" i="2" s="1"/>
  <c r="Q8" i="2"/>
  <c r="Q25" i="2" s="1"/>
  <c r="R1" i="2"/>
  <c r="S1" i="2" s="1"/>
  <c r="T1" i="2" s="1"/>
  <c r="U1" i="2" s="1"/>
  <c r="V1" i="2" s="1"/>
  <c r="W1" i="2" s="1"/>
  <c r="X1" i="2" s="1"/>
  <c r="F8" i="2"/>
  <c r="D4" i="1"/>
  <c r="E4" i="1" s="1"/>
  <c r="D7" i="1" s="1"/>
  <c r="E7" i="1" s="1"/>
  <c r="K18" i="2" l="1"/>
  <c r="K19" i="2" s="1"/>
  <c r="K21" i="2"/>
  <c r="K23" i="2" s="1"/>
  <c r="S30" i="2"/>
  <c r="T30" i="2" s="1"/>
  <c r="T32" i="2"/>
  <c r="C84" i="2"/>
  <c r="G25" i="2"/>
  <c r="C26" i="2"/>
  <c r="D26" i="2"/>
  <c r="D84" i="2"/>
  <c r="F26" i="2"/>
  <c r="E26" i="2"/>
  <c r="D29" i="2"/>
  <c r="D16" i="2"/>
  <c r="D18" i="2" s="1"/>
  <c r="C16" i="2"/>
  <c r="C18" i="2" s="1"/>
  <c r="C29" i="2"/>
  <c r="E16" i="2"/>
  <c r="E18" i="2" s="1"/>
  <c r="E21" i="2" s="1"/>
  <c r="H25" i="2"/>
  <c r="I25" i="2"/>
  <c r="F25" i="2"/>
  <c r="E84" i="2"/>
  <c r="I75" i="2"/>
  <c r="B12" i="2"/>
  <c r="B29" i="2" s="1"/>
  <c r="E75" i="2"/>
  <c r="G12" i="2"/>
  <c r="G29" i="2" s="1"/>
  <c r="I84" i="2"/>
  <c r="G84" i="2"/>
  <c r="B26" i="2"/>
  <c r="F84" i="2"/>
  <c r="E35" i="2"/>
  <c r="B84" i="2"/>
  <c r="Q12" i="2"/>
  <c r="Q16" i="2" s="1"/>
  <c r="Q18" i="2" s="1"/>
  <c r="R12" i="2"/>
  <c r="R29" i="2" s="1"/>
  <c r="H26" i="2"/>
  <c r="I16" i="2"/>
  <c r="I18" i="2" s="1"/>
  <c r="I21" i="2" s="1"/>
  <c r="H12" i="2"/>
  <c r="H29" i="2" s="1"/>
  <c r="R25" i="2"/>
  <c r="S25" i="2"/>
  <c r="R84" i="2"/>
  <c r="S12" i="2"/>
  <c r="S29" i="2" s="1"/>
  <c r="G26" i="2"/>
  <c r="I29" i="2"/>
  <c r="I26" i="2"/>
  <c r="F12" i="2"/>
  <c r="F16" i="2" s="1"/>
  <c r="F18" i="2" s="1"/>
  <c r="U30" i="2" l="1"/>
  <c r="V30" i="2" s="1"/>
  <c r="W30" i="2" s="1"/>
  <c r="X30" i="2" s="1"/>
  <c r="Y30" i="2" s="1"/>
  <c r="T31" i="2"/>
  <c r="T33" i="2" s="1"/>
  <c r="E27" i="2"/>
  <c r="C27" i="2"/>
  <c r="C21" i="2"/>
  <c r="D27" i="2"/>
  <c r="D21" i="2"/>
  <c r="E37" i="2"/>
  <c r="E23" i="2"/>
  <c r="B16" i="2"/>
  <c r="B18" i="2" s="1"/>
  <c r="B21" i="2" s="1"/>
  <c r="G16" i="2"/>
  <c r="G18" i="2" s="1"/>
  <c r="G27" i="2" s="1"/>
  <c r="Q29" i="2"/>
  <c r="R16" i="2"/>
  <c r="R18" i="2" s="1"/>
  <c r="R21" i="2" s="1"/>
  <c r="I27" i="2"/>
  <c r="H16" i="2"/>
  <c r="H18" i="2" s="1"/>
  <c r="H27" i="2" s="1"/>
  <c r="I23" i="2"/>
  <c r="I37" i="2"/>
  <c r="F21" i="2"/>
  <c r="F27" i="2"/>
  <c r="T25" i="2"/>
  <c r="S16" i="2"/>
  <c r="S18" i="2" s="1"/>
  <c r="S27" i="2" s="1"/>
  <c r="T11" i="2"/>
  <c r="T12" i="2" s="1"/>
  <c r="F29" i="2"/>
  <c r="Q21" i="2"/>
  <c r="Q27" i="2"/>
  <c r="U11" i="2" l="1"/>
  <c r="U12" i="2" s="1"/>
  <c r="U32" i="2"/>
  <c r="U31" i="2"/>
  <c r="B27" i="2"/>
  <c r="R27" i="2"/>
  <c r="J15" i="2"/>
  <c r="D37" i="2"/>
  <c r="D23" i="2"/>
  <c r="C37" i="2"/>
  <c r="C23" i="2"/>
  <c r="H21" i="2"/>
  <c r="H37" i="2" s="1"/>
  <c r="G21" i="2"/>
  <c r="G23" i="2" s="1"/>
  <c r="B37" i="2"/>
  <c r="B23" i="2"/>
  <c r="F23" i="2"/>
  <c r="F37" i="2"/>
  <c r="S21" i="2"/>
  <c r="S37" i="2" s="1"/>
  <c r="T20" i="2"/>
  <c r="T13" i="2"/>
  <c r="T14" i="2"/>
  <c r="U25" i="2"/>
  <c r="Q23" i="2"/>
  <c r="Q37" i="2"/>
  <c r="Q34" i="2"/>
  <c r="R23" i="2"/>
  <c r="R34" i="2"/>
  <c r="R37" i="2"/>
  <c r="G37" i="2" l="1"/>
  <c r="H23" i="2"/>
  <c r="U33" i="2"/>
  <c r="V32" i="2"/>
  <c r="V31" i="2"/>
  <c r="U20" i="2"/>
  <c r="S34" i="2"/>
  <c r="S23" i="2"/>
  <c r="V11" i="2"/>
  <c r="V12" i="2" s="1"/>
  <c r="V25" i="2"/>
  <c r="U14" i="2"/>
  <c r="U13" i="2"/>
  <c r="U15" i="2" s="1"/>
  <c r="U16" i="2" s="1"/>
  <c r="T15" i="2"/>
  <c r="T16" i="2" s="1"/>
  <c r="T18" i="2" s="1"/>
  <c r="T19" i="2" s="1"/>
  <c r="T21" i="2" s="1"/>
  <c r="T34" i="2" s="1"/>
  <c r="V33" i="2" l="1"/>
  <c r="W32" i="2"/>
  <c r="W31" i="2"/>
  <c r="V14" i="2"/>
  <c r="T35" i="2"/>
  <c r="U17" i="2" s="1"/>
  <c r="U18" i="2" s="1"/>
  <c r="U19" i="2" s="1"/>
  <c r="U21" i="2" s="1"/>
  <c r="U34" i="2" s="1"/>
  <c r="T23" i="2"/>
  <c r="W25" i="2"/>
  <c r="W11" i="2"/>
  <c r="W12" i="2" s="1"/>
  <c r="V13" i="2"/>
  <c r="V15" i="2" s="1"/>
  <c r="V16" i="2" s="1"/>
  <c r="V20" i="2"/>
  <c r="W20" i="2" s="1"/>
  <c r="U35" i="2" l="1"/>
  <c r="W33" i="2"/>
  <c r="X32" i="2"/>
  <c r="X31" i="2"/>
  <c r="U23" i="2"/>
  <c r="X25" i="2"/>
  <c r="X20" i="2" s="1"/>
  <c r="X11" i="2"/>
  <c r="X12" i="2" s="1"/>
  <c r="W13" i="2"/>
  <c r="W14" i="2"/>
  <c r="V17" i="2"/>
  <c r="V18" i="2" s="1"/>
  <c r="V19" i="2" s="1"/>
  <c r="V21" i="2" s="1"/>
  <c r="V34" i="2" s="1"/>
  <c r="X33" i="2" l="1"/>
  <c r="Y32" i="2"/>
  <c r="Y31" i="2"/>
  <c r="X14" i="2"/>
  <c r="W15" i="2"/>
  <c r="W16" i="2" s="1"/>
  <c r="Y25" i="2"/>
  <c r="Y11" i="2"/>
  <c r="Y12" i="2" s="1"/>
  <c r="X13" i="2"/>
  <c r="X15" i="2" s="1"/>
  <c r="X16" i="2" s="1"/>
  <c r="V35" i="2"/>
  <c r="W17" i="2" s="1"/>
  <c r="V23" i="2"/>
  <c r="W18" i="2" l="1"/>
  <c r="W19" i="2" s="1"/>
  <c r="W21" i="2" s="1"/>
  <c r="W34" i="2" s="1"/>
  <c r="Y33" i="2"/>
  <c r="Z33" i="2" s="1"/>
  <c r="Y13" i="2"/>
  <c r="Y20" i="2"/>
  <c r="Y14" i="2"/>
  <c r="W35" i="2"/>
  <c r="X17" i="2" s="1"/>
  <c r="X18" i="2" s="1"/>
  <c r="W23" i="2"/>
  <c r="Y15" i="2" l="1"/>
  <c r="Y16" i="2" s="1"/>
  <c r="X19" i="2"/>
  <c r="X21" i="2" s="1"/>
  <c r="X34" i="2" s="1"/>
  <c r="X23" i="2" l="1"/>
  <c r="X35" i="2"/>
  <c r="Y17" i="2" s="1"/>
  <c r="Y18" i="2" s="1"/>
  <c r="Y19" i="2" l="1"/>
  <c r="Y21" i="2" s="1"/>
  <c r="Y23" i="2" l="1"/>
  <c r="Y34" i="2"/>
  <c r="Z21" i="2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AA33" i="2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X33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O33" i="2" s="1"/>
  <c r="DP33" i="2" s="1"/>
  <c r="DQ33" i="2" s="1"/>
  <c r="DR33" i="2" s="1"/>
  <c r="DS33" i="2" s="1"/>
  <c r="DT33" i="2" s="1"/>
  <c r="AB28" i="2" s="1"/>
  <c r="AB29" i="2" s="1"/>
  <c r="AB30" i="2" s="1"/>
  <c r="AB31" i="2" s="1"/>
  <c r="Y35" i="2"/>
  <c r="J26" i="2"/>
  <c r="J20" i="2" s="1"/>
  <c r="J11" i="2"/>
  <c r="J84" i="2"/>
  <c r="J25" i="2"/>
  <c r="J12" i="2"/>
  <c r="J16" i="2"/>
  <c r="J18" i="2" s="1"/>
  <c r="J27" i="2" s="1"/>
  <c r="J21" i="2" l="1"/>
  <c r="J23" i="2" l="1"/>
  <c r="D8" i="1" s="1"/>
  <c r="J37" i="2"/>
  <c r="J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tc={944BCAF5-5E56-4E9A-96BF-51366E4D31CB}</author>
    <author>tc={C412A0B2-2218-40B9-84EF-F977CE1D409A}</author>
    <author>tc={117C89AC-E0B3-4801-BB04-4C223E158003}</author>
    <author>tc={7D9BE086-277F-4636-A4A5-3CA291FB4393}</author>
    <author>tc={895B9FD8-FC46-401A-9FDD-188D6C7FB7BB}</author>
    <author>tc={782012D7-B0C3-4C04-9954-6C66D27A90DC}</author>
    <author>tc={5AA0A275-6EB6-49AB-B2CD-C8A33A588D1A}</author>
  </authors>
  <commentList>
    <comment ref="K8" authorId="0" shapeId="0" xr:uid="{944BCAF5-5E56-4E9A-96BF-51366E4D31CB}">
      <text>
        <t>[Threaded comment]
Your version of Excel allows you to read this threaded comment; however, any edits to it will get removed if the file is opened in a newer version of Excel. Learn more: https://go.microsoft.com/fwlink/?linkid=870924
Comment:
    “ASML expects net sales 7.2-7.7B”</t>
      </text>
    </comment>
    <comment ref="T8" authorId="1" shapeId="0" xr:uid="{C412A0B2-2218-40B9-84EF-F977CE1D409A}">
      <text>
        <t>[Threaded comment]
Your version of Excel allows you to read this threaded comment; however, any edits to it will get removed if the file is opened in a newer version of Excel. Learn more: https://go.microsoft.com/fwlink/?linkid=870924
Comment:
    FY25 revenue between 30-35B</t>
      </text>
    </comment>
    <comment ref="Y8" authorId="2" shapeId="0" xr:uid="{117C89AC-E0B3-4801-BB04-4C223E158003}">
      <text>
        <t>[Threaded comment]
Your version of Excel allows you to read this threaded comment; however, any edits to it will get removed if the file is opened in a newer version of Excel. Learn more: https://go.microsoft.com/fwlink/?linkid=870924
Comment:
    “2030 revenue between 44 and 60 bn”</t>
      </text>
    </comment>
    <comment ref="T27" authorId="3" shapeId="0" xr:uid="{7D9BE086-277F-4636-A4A5-3CA291FB4393}">
      <text>
        <t>[Threaded comment]
Your version of Excel allows you to read this threaded comment; however, any edits to it will get removed if the file is opened in a newer version of Excel. Learn more: https://go.microsoft.com/fwlink/?linkid=870924
Comment:
    “FY25 effective tax rate”</t>
      </text>
    </comment>
    <comment ref="K29" authorId="4" shapeId="0" xr:uid="{895B9FD8-FC46-401A-9FDD-188D6C7FB7BB}">
      <text>
        <t>[Threaded comment]
Your version of Excel allows you to read this threaded comment; however, any edits to it will get removed if the file is opened in a newer version of Excel. Learn more: https://go.microsoft.com/fwlink/?linkid=870924
Comment:
    “gross margin 50-53%”</t>
      </text>
    </comment>
    <comment ref="T29" authorId="5" shapeId="0" xr:uid="{782012D7-B0C3-4C04-9954-6C66D27A90DC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“expects gross margin between 51 - 53 percent”</t>
      </text>
    </comment>
    <comment ref="Y29" authorId="6" shapeId="0" xr:uid="{5AA0A275-6EB6-49AB-B2CD-C8A33A588D1A}">
      <text>
        <t>[Threaded comment]
Your version of Excel allows you to read this threaded comment; however, any edits to it will get removed if the file is opened in a newer version of Excel. Learn more: https://go.microsoft.com/fwlink/?linkid=870924
Comment:
    “gross margin between 56 and 60 percent”</t>
      </text>
    </comment>
  </commentList>
</comments>
</file>

<file path=xl/sharedStrings.xml><?xml version="1.0" encoding="utf-8"?>
<sst xmlns="http://schemas.openxmlformats.org/spreadsheetml/2006/main" count="104" uniqueCount="93">
  <si>
    <t>Price</t>
  </si>
  <si>
    <t>Shares</t>
  </si>
  <si>
    <t>MC</t>
  </si>
  <si>
    <t>Cash</t>
  </si>
  <si>
    <t>Debt</t>
  </si>
  <si>
    <t>EV</t>
  </si>
  <si>
    <t>ASML</t>
  </si>
  <si>
    <t>Q424</t>
  </si>
  <si>
    <t>System Sales</t>
  </si>
  <si>
    <t>Service and Field Sales</t>
  </si>
  <si>
    <t>Revenue</t>
  </si>
  <si>
    <t>System COGS</t>
  </si>
  <si>
    <t>Service and Field COGS</t>
  </si>
  <si>
    <t>COGS</t>
  </si>
  <si>
    <t>Gross Profit</t>
  </si>
  <si>
    <t>R&amp;D</t>
  </si>
  <si>
    <t>SG&amp;A</t>
  </si>
  <si>
    <t>OPEX</t>
  </si>
  <si>
    <t>Operating Income</t>
  </si>
  <si>
    <t>Interest</t>
  </si>
  <si>
    <t>Pretax Income</t>
  </si>
  <si>
    <t>Tax</t>
  </si>
  <si>
    <t>Net Income</t>
  </si>
  <si>
    <t>Equity Method Investments</t>
  </si>
  <si>
    <t>EPS</t>
  </si>
  <si>
    <t>Tax Rate</t>
  </si>
  <si>
    <t>Gross Margin</t>
  </si>
  <si>
    <t>CFFO</t>
  </si>
  <si>
    <t>CX</t>
  </si>
  <si>
    <t>FCF</t>
  </si>
  <si>
    <t>Net Cash</t>
  </si>
  <si>
    <t>AR</t>
  </si>
  <si>
    <t>AP</t>
  </si>
  <si>
    <t>Model NI</t>
  </si>
  <si>
    <t>Reported NI</t>
  </si>
  <si>
    <t>DSO</t>
  </si>
  <si>
    <t>Inventories</t>
  </si>
  <si>
    <t>Q124</t>
  </si>
  <si>
    <t>Q224</t>
  </si>
  <si>
    <t>Q324</t>
  </si>
  <si>
    <t>Q125</t>
  </si>
  <si>
    <t>ROIC</t>
  </si>
  <si>
    <t>Maturity</t>
  </si>
  <si>
    <t>Discount</t>
  </si>
  <si>
    <t>NPV</t>
  </si>
  <si>
    <t>Diff</t>
  </si>
  <si>
    <t>Price $</t>
  </si>
  <si>
    <t>Price €</t>
  </si>
  <si>
    <t>SPOT €/$</t>
  </si>
  <si>
    <t>"2030 44-60bn revenue"</t>
  </si>
  <si>
    <t>"56-60% gross  margin"</t>
  </si>
  <si>
    <t>Revenue Growth q/q</t>
  </si>
  <si>
    <t>Revenue Growth y/y</t>
  </si>
  <si>
    <t>Lithography systems Sales</t>
  </si>
  <si>
    <t>Net bookings</t>
  </si>
  <si>
    <t>Q123</t>
  </si>
  <si>
    <t>Q223</t>
  </si>
  <si>
    <t>Q323</t>
  </si>
  <si>
    <t>Q423</t>
  </si>
  <si>
    <t>CTA</t>
  </si>
  <si>
    <t>Contract Assets</t>
  </si>
  <si>
    <t>Other Assets</t>
  </si>
  <si>
    <t>Total Assets</t>
  </si>
  <si>
    <t>Finance Receivables</t>
  </si>
  <si>
    <t>DTA</t>
  </si>
  <si>
    <t>Loans Receivable</t>
  </si>
  <si>
    <t>Goodwill</t>
  </si>
  <si>
    <t>Other Intangible Assets</t>
  </si>
  <si>
    <t>PP&amp;E</t>
  </si>
  <si>
    <t>Right-of-use Assets</t>
  </si>
  <si>
    <t>DTL</t>
  </si>
  <si>
    <t>Contract Liabilities</t>
  </si>
  <si>
    <t>Accrued &amp; Liabilties</t>
  </si>
  <si>
    <t>Total Liabilities</t>
  </si>
  <si>
    <t>D&amp;A</t>
  </si>
  <si>
    <t>Compensation</t>
  </si>
  <si>
    <t>Inventory Reserves</t>
  </si>
  <si>
    <t>Changes in Assets&amp;Liabilities</t>
  </si>
  <si>
    <t>DTE (benefit)</t>
  </si>
  <si>
    <t>Impairment (gain)</t>
  </si>
  <si>
    <t>Intangible Assets</t>
  </si>
  <si>
    <t>Short-term Investments</t>
  </si>
  <si>
    <t>Loans Issued</t>
  </si>
  <si>
    <t>CAPEX</t>
  </si>
  <si>
    <t>Dividend</t>
  </si>
  <si>
    <t>Purchase Shares</t>
  </si>
  <si>
    <t>Issue Shares</t>
  </si>
  <si>
    <t>Issue Notes</t>
  </si>
  <si>
    <t>Repay Debt</t>
  </si>
  <si>
    <t>Net Cash Financing</t>
  </si>
  <si>
    <t>ASP</t>
  </si>
  <si>
    <t>PE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</si>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</sst>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€-2]\ #,##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3" fontId="2" fillId="0" borderId="0" xfId="0" applyNumberFormat="1" applyFont="1"/>
    <xf numFmtId="9" fontId="2" fillId="0" borderId="0" xfId="0" applyNumberFormat="1" applyFont="1"/>
    <xf numFmtId="4" fontId="2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600075</xdr:colOff>
      <xdr:row>0</xdr:row>
      <xdr:rowOff>19050</xdr:rowOff>
    </xdr:from>
    <xdr:to>
      <xdr:col>19</xdr:col>
      <xdr:colOff>9525</xdr:colOff>
      <xdr:row>59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D0527F-2118-DC17-7E6C-AF0AB212B1B7}"/>
            </a:ext>
          </a:extLst>
        </xdr:cNvPr>
        <xdr:cNvCxnSpPr/>
      </xdr:nvCxnSpPr>
      <xdr:spPr>
        <a:xfrm flipH="1">
          <a:off x="7067550" y="19050"/>
          <a:ext cx="19050" cy="66198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0</xdr:row>
      <xdr:rowOff>9525</xdr:rowOff>
    </xdr:from>
    <xdr:to>
      <xdr:col>9</xdr:col>
      <xdr:colOff>9525</xdr:colOff>
      <xdr:row>59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27B81C0-0DF8-4A35-B3AA-89483BAE902B}"/>
            </a:ext>
          </a:extLst>
        </xdr:cNvPr>
        <xdr:cNvCxnSpPr/>
      </xdr:nvCxnSpPr>
      <xdr:spPr>
        <a:xfrm flipH="1">
          <a:off x="4019550" y="9525"/>
          <a:ext cx="19050" cy="66198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ender Flores" id="{CDEB7FFD-9779-4A1D-8E3F-07906DC8053A}" userId="S::lrenderflores@mcc.edu::ba971e3f-64ab-4420-998a-55d598ee1c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8" dT="2025-04-16T23:54:22.82" personId="{CDEB7FFD-9779-4A1D-8E3F-07906DC8053A}" id="{944BCAF5-5E56-4E9A-96BF-51366E4D31CB}">
    <text>“ASML expects net sales 7.2-7.7B”</text>
  </threadedComment>
  <threadedComment ref="T8" dT="2025-04-16T00:59:47.67" personId="{CDEB7FFD-9779-4A1D-8E3F-07906DC8053A}" id="{C412A0B2-2218-40B9-84EF-F977CE1D409A}">
    <text>FY25 revenue between 30-35B</text>
  </threadedComment>
  <threadedComment ref="Y8" dT="2025-04-16T01:27:43.03" personId="{CDEB7FFD-9779-4A1D-8E3F-07906DC8053A}" id="{117C89AC-E0B3-4801-BB04-4C223E158003}">
    <text>“2030 revenue between 44 and 60 bn”</text>
  </threadedComment>
  <threadedComment ref="T27" dT="2025-04-16T01:38:26.06" personId="{CDEB7FFD-9779-4A1D-8E3F-07906DC8053A}" id="{7D9BE086-277F-4636-A4A5-3CA291FB4393}">
    <text>“FY25 effective tax rate”</text>
  </threadedComment>
  <threadedComment ref="K29" dT="2025-04-16T23:54:37.88" personId="{CDEB7FFD-9779-4A1D-8E3F-07906DC8053A}" id="{895B9FD8-FC46-401A-9FDD-188D6C7FB7BB}">
    <text>“gross margin 50-53%”</text>
  </threadedComment>
  <threadedComment ref="T29" dT="2025-04-16T01:01:30.18" personId="{CDEB7FFD-9779-4A1D-8E3F-07906DC8053A}" id="{782012D7-B0C3-4C04-9954-6C66D27A90DC}">
    <text>“expects gross margin between 51 - 53 percent”</text>
  </threadedComment>
  <threadedComment ref="Y29" dT="2025-04-16T01:28:00.48" personId="{CDEB7FFD-9779-4A1D-8E3F-07906DC8053A}" id="{5AA0A275-6EB6-49AB-B2CD-C8A33A588D1A}">
    <text>“gross margin between 56 and 60 percent”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3A0E-0235-4592-8342-EC1B6F585EA4}">
  <dimension ref="A1:E8"/>
  <sheetViews>
    <sheetView tabSelected="1" zoomScale="295" zoomScaleNormal="295" workbookViewId="0">
      <selection activeCell="D3" sqref="D3"/>
    </sheetView>
  </sheetViews>
  <sheetFormatPr defaultRowHeight="14.25" x14ac:dyDescent="0.2"/>
  <cols>
    <col min="1" max="16384" width="9.140625" style="10"/>
  </cols>
  <sheetData>
    <row r="1" spans="1:5" ht="15" x14ac:dyDescent="0.25">
      <c r="A1" s="9" t="s">
        <v>6</v>
      </c>
    </row>
    <row r="2" spans="1:5" x14ac:dyDescent="0.2">
      <c r="C2" s="10" t="s">
        <v>0</v>
      </c>
      <c r="D2" s="11">
        <v>750</v>
      </c>
      <c r="E2" s="11">
        <f>D2/1.13</f>
        <v>663.71681415929208</v>
      </c>
    </row>
    <row r="3" spans="1:5" x14ac:dyDescent="0.2">
      <c r="A3" s="10" t="s">
        <v>49</v>
      </c>
      <c r="C3" s="10" t="s">
        <v>1</v>
      </c>
      <c r="D3" s="1">
        <v>392.5</v>
      </c>
      <c r="E3" s="10" t="s">
        <v>40</v>
      </c>
    </row>
    <row r="4" spans="1:5" x14ac:dyDescent="0.2">
      <c r="A4" s="10" t="s">
        <v>50</v>
      </c>
      <c r="C4" s="10" t="s">
        <v>2</v>
      </c>
      <c r="D4" s="1">
        <f>D3*D2</f>
        <v>294375</v>
      </c>
      <c r="E4" s="10">
        <f>D4/1.13</f>
        <v>260508.84955752216</v>
      </c>
    </row>
    <row r="5" spans="1:5" x14ac:dyDescent="0.2">
      <c r="C5" s="10" t="s">
        <v>3</v>
      </c>
      <c r="D5" s="1">
        <f>9098+5.2</f>
        <v>9103.2000000000007</v>
      </c>
      <c r="E5" s="10" t="s">
        <v>40</v>
      </c>
    </row>
    <row r="6" spans="1:5" x14ac:dyDescent="0.2">
      <c r="C6" s="10" t="s">
        <v>4</v>
      </c>
      <c r="D6" s="1">
        <v>9854</v>
      </c>
      <c r="E6" s="10" t="s">
        <v>40</v>
      </c>
    </row>
    <row r="7" spans="1:5" x14ac:dyDescent="0.2">
      <c r="C7" s="10" t="s">
        <v>5</v>
      </c>
      <c r="D7" s="1">
        <f>E4+D6-D5</f>
        <v>261259.64955752215</v>
      </c>
      <c r="E7" s="1">
        <f>D7/D3</f>
        <v>665.62968040133035</v>
      </c>
    </row>
    <row r="8" spans="1:5" x14ac:dyDescent="0.2">
      <c r="C8" s="10" t="s">
        <v>91</v>
      </c>
      <c r="D8" s="3">
        <f>E7/(Sheet2!J23*4*1.11)</f>
        <v>24.795632310807278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EA94-660F-4C9C-B2FF-A5D3568DEBBC}">
  <dimension ref="A1:DT84"/>
  <sheetViews>
    <sheetView workbookViewId="0">
      <pane xSplit="1" ySplit="1" topLeftCell="R17" activePane="bottomRight" state="frozen"/>
      <selection pane="topRight" activeCell="B1" sqref="B1"/>
      <selection pane="bottomLeft" activeCell="A2" sqref="A2"/>
      <selection pane="bottomRight" activeCell="Z27" sqref="A1:XFD1048576"/>
    </sheetView>
  </sheetViews>
  <sheetFormatPr defaultRowHeight="14.25" x14ac:dyDescent="0.2"/>
  <cols>
    <col min="1" max="1" width="23.85546875" style="1" customWidth="1"/>
    <col min="2" max="5" width="10" style="1" customWidth="1"/>
    <col min="6" max="16384" width="9.140625" style="1"/>
  </cols>
  <sheetData>
    <row r="1" spans="1:25" x14ac:dyDescent="0.2">
      <c r="B1" s="1" t="s">
        <v>55</v>
      </c>
      <c r="C1" s="1" t="s">
        <v>56</v>
      </c>
      <c r="D1" s="1" t="s">
        <v>57</v>
      </c>
      <c r="E1" s="1" t="s">
        <v>58</v>
      </c>
      <c r="F1" s="1" t="s">
        <v>37</v>
      </c>
      <c r="G1" s="1" t="s">
        <v>38</v>
      </c>
      <c r="H1" s="1" t="s">
        <v>39</v>
      </c>
      <c r="I1" s="1" t="s">
        <v>7</v>
      </c>
      <c r="J1" s="1" t="s">
        <v>40</v>
      </c>
      <c r="K1" s="1" t="s">
        <v>92</v>
      </c>
      <c r="M1" s="2">
        <v>2018</v>
      </c>
      <c r="N1" s="2">
        <f>M1+1</f>
        <v>2019</v>
      </c>
      <c r="O1" s="2">
        <f t="shared" ref="O1:P1" si="0">N1+1</f>
        <v>2020</v>
      </c>
      <c r="P1" s="2">
        <f t="shared" si="0"/>
        <v>2021</v>
      </c>
      <c r="Q1" s="2">
        <v>2022</v>
      </c>
      <c r="R1" s="2">
        <f>Q1+1</f>
        <v>2023</v>
      </c>
      <c r="S1" s="2">
        <f t="shared" ref="S1:X1" si="1">R1+1</f>
        <v>2024</v>
      </c>
      <c r="T1" s="2">
        <f t="shared" si="1"/>
        <v>2025</v>
      </c>
      <c r="U1" s="2">
        <f t="shared" si="1"/>
        <v>2026</v>
      </c>
      <c r="V1" s="2">
        <f t="shared" si="1"/>
        <v>2027</v>
      </c>
      <c r="W1" s="2">
        <f t="shared" si="1"/>
        <v>2028</v>
      </c>
      <c r="X1" s="2">
        <f t="shared" si="1"/>
        <v>2029</v>
      </c>
      <c r="Y1" s="2">
        <v>2030</v>
      </c>
    </row>
    <row r="2" spans="1:25" x14ac:dyDescent="0.2">
      <c r="A2" s="1" t="s">
        <v>53</v>
      </c>
      <c r="E2" s="1">
        <v>124</v>
      </c>
      <c r="F2" s="1">
        <v>70</v>
      </c>
      <c r="G2" s="1">
        <v>100</v>
      </c>
      <c r="H2" s="1">
        <v>116</v>
      </c>
      <c r="I2" s="1">
        <v>132</v>
      </c>
      <c r="J2" s="1">
        <f>73+4</f>
        <v>77</v>
      </c>
      <c r="K2" s="1">
        <f>K6/K4</f>
        <v>74.666666666666671</v>
      </c>
      <c r="N2" s="1">
        <v>229</v>
      </c>
      <c r="O2" s="1">
        <v>258</v>
      </c>
      <c r="P2" s="1">
        <v>300</v>
      </c>
      <c r="Q2" s="2">
        <v>350</v>
      </c>
      <c r="R2" s="2">
        <v>380</v>
      </c>
      <c r="S2" s="2">
        <v>449</v>
      </c>
      <c r="T2" s="2">
        <f>T8/T4</f>
        <v>420</v>
      </c>
      <c r="U2" s="2"/>
      <c r="V2" s="2"/>
      <c r="W2" s="2"/>
      <c r="X2" s="2"/>
      <c r="Y2" s="2"/>
    </row>
    <row r="3" spans="1:25" x14ac:dyDescent="0.2">
      <c r="A3" s="1" t="s">
        <v>54</v>
      </c>
      <c r="E3" s="1">
        <v>9186</v>
      </c>
      <c r="F3" s="1">
        <v>3611</v>
      </c>
      <c r="G3" s="1">
        <v>5567</v>
      </c>
      <c r="H3" s="1">
        <v>2633</v>
      </c>
      <c r="I3" s="1">
        <v>7088</v>
      </c>
      <c r="J3" s="1">
        <v>3900</v>
      </c>
      <c r="O3" s="1">
        <v>11292</v>
      </c>
      <c r="P3" s="1">
        <v>26240</v>
      </c>
      <c r="Q3" s="1">
        <v>30674</v>
      </c>
      <c r="R3" s="1">
        <v>20040</v>
      </c>
      <c r="S3" s="1">
        <v>18899</v>
      </c>
      <c r="T3" s="2"/>
      <c r="U3" s="2"/>
      <c r="V3" s="2"/>
      <c r="W3" s="2"/>
      <c r="X3" s="2"/>
      <c r="Y3" s="2"/>
    </row>
    <row r="4" spans="1:25" x14ac:dyDescent="0.2">
      <c r="A4" s="1" t="s">
        <v>90</v>
      </c>
      <c r="E4" s="1">
        <f>E6/E2</f>
        <v>45.83064516129032</v>
      </c>
      <c r="F4" s="1">
        <f t="shared" ref="F4:J4" si="2">F6/F2</f>
        <v>56.657142857142858</v>
      </c>
      <c r="G4" s="1">
        <f t="shared" si="2"/>
        <v>47.61</v>
      </c>
      <c r="H4" s="1">
        <f t="shared" si="2"/>
        <v>51.086206896551722</v>
      </c>
      <c r="I4" s="1">
        <f t="shared" si="2"/>
        <v>53.909090909090907</v>
      </c>
      <c r="J4" s="1">
        <f t="shared" si="2"/>
        <v>74.558441558441558</v>
      </c>
      <c r="K4" s="1">
        <v>75</v>
      </c>
      <c r="N4" s="1">
        <f t="shared" ref="N4:S4" si="3">N6/N2</f>
        <v>0</v>
      </c>
      <c r="O4" s="1">
        <f t="shared" si="3"/>
        <v>0</v>
      </c>
      <c r="P4" s="1">
        <f t="shared" si="3"/>
        <v>0</v>
      </c>
      <c r="Q4" s="1">
        <f t="shared" si="3"/>
        <v>44.085714285714289</v>
      </c>
      <c r="R4" s="1">
        <f t="shared" si="3"/>
        <v>57.734210526315792</v>
      </c>
      <c r="S4" s="1">
        <f t="shared" si="3"/>
        <v>48.483296213808465</v>
      </c>
      <c r="T4" s="2">
        <v>75</v>
      </c>
      <c r="U4" s="2"/>
      <c r="V4" s="2"/>
      <c r="W4" s="2"/>
      <c r="X4" s="2"/>
      <c r="Y4" s="2"/>
    </row>
    <row r="5" spans="1:25" x14ac:dyDescent="0.2">
      <c r="E5" s="3"/>
      <c r="F5" s="3"/>
      <c r="G5" s="3"/>
      <c r="H5" s="3"/>
      <c r="I5" s="3"/>
      <c r="O5" s="4">
        <f t="shared" ref="O5:T5" si="4">O2/N2-1</f>
        <v>0.1266375545851528</v>
      </c>
      <c r="P5" s="4">
        <f t="shared" si="4"/>
        <v>0.16279069767441867</v>
      </c>
      <c r="Q5" s="4">
        <f t="shared" si="4"/>
        <v>0.16666666666666674</v>
      </c>
      <c r="R5" s="4">
        <f t="shared" si="4"/>
        <v>8.5714285714285632E-2</v>
      </c>
      <c r="S5" s="4">
        <f t="shared" si="4"/>
        <v>0.18157894736842106</v>
      </c>
      <c r="T5" s="4">
        <f t="shared" si="4"/>
        <v>-6.4587973273942056E-2</v>
      </c>
      <c r="U5" s="2"/>
      <c r="V5" s="2"/>
      <c r="W5" s="2"/>
      <c r="X5" s="2"/>
      <c r="Y5" s="2"/>
    </row>
    <row r="6" spans="1:25" x14ac:dyDescent="0.2">
      <c r="A6" s="1" t="s">
        <v>8</v>
      </c>
      <c r="E6" s="1">
        <v>5683</v>
      </c>
      <c r="F6" s="1">
        <v>3966</v>
      </c>
      <c r="G6" s="1">
        <v>4761</v>
      </c>
      <c r="H6" s="1">
        <v>5926</v>
      </c>
      <c r="I6" s="1">
        <v>7116</v>
      </c>
      <c r="J6" s="1">
        <f>J8-J7</f>
        <v>5741</v>
      </c>
      <c r="K6" s="1">
        <f>K8-K7</f>
        <v>5600</v>
      </c>
      <c r="Q6" s="1">
        <v>15430</v>
      </c>
      <c r="R6" s="1">
        <v>21939</v>
      </c>
      <c r="S6" s="1">
        <v>21769</v>
      </c>
    </row>
    <row r="7" spans="1:25" ht="15" x14ac:dyDescent="0.25">
      <c r="A7" s="1" t="s">
        <v>9</v>
      </c>
      <c r="E7" s="1">
        <v>1554</v>
      </c>
      <c r="F7" s="1">
        <v>1324</v>
      </c>
      <c r="G7" s="1">
        <v>1482</v>
      </c>
      <c r="H7" s="1">
        <v>1541</v>
      </c>
      <c r="I7" s="1">
        <v>2147</v>
      </c>
      <c r="J7" s="1">
        <v>2001</v>
      </c>
      <c r="K7" s="1">
        <v>1800</v>
      </c>
      <c r="O7" s="5"/>
      <c r="Q7" s="1">
        <v>5743</v>
      </c>
      <c r="R7" s="1">
        <v>5620</v>
      </c>
      <c r="S7" s="1">
        <v>6494</v>
      </c>
    </row>
    <row r="8" spans="1:25" s="5" customFormat="1" ht="15" x14ac:dyDescent="0.25">
      <c r="A8" s="5" t="s">
        <v>10</v>
      </c>
      <c r="B8" s="5">
        <f>SUM(B6:B7)</f>
        <v>0</v>
      </c>
      <c r="C8" s="5">
        <f t="shared" ref="C8:E8" si="5">SUM(C6:C7)</f>
        <v>0</v>
      </c>
      <c r="D8" s="5">
        <f t="shared" si="5"/>
        <v>0</v>
      </c>
      <c r="E8" s="5">
        <f t="shared" si="5"/>
        <v>7237</v>
      </c>
      <c r="F8" s="5">
        <f>SUM(F6:F7)</f>
        <v>5290</v>
      </c>
      <c r="G8" s="5">
        <f t="shared" ref="G8:H8" si="6">SUM(G6:G7)</f>
        <v>6243</v>
      </c>
      <c r="H8" s="5">
        <f t="shared" si="6"/>
        <v>7467</v>
      </c>
      <c r="I8" s="5">
        <f>SUM(I6:I7)</f>
        <v>9263</v>
      </c>
      <c r="J8" s="5">
        <v>7742</v>
      </c>
      <c r="K8" s="5">
        <v>7400</v>
      </c>
      <c r="O8" s="5">
        <v>13979</v>
      </c>
      <c r="P8" s="5">
        <v>18611</v>
      </c>
      <c r="Q8" s="5">
        <f>SUM(Q6:Q7)</f>
        <v>21173</v>
      </c>
      <c r="R8" s="5">
        <f t="shared" ref="R8:S8" si="7">SUM(R6:R7)</f>
        <v>27559</v>
      </c>
      <c r="S8" s="5">
        <f t="shared" si="7"/>
        <v>28263</v>
      </c>
      <c r="T8" s="5">
        <v>31500</v>
      </c>
      <c r="U8" s="5">
        <f>T8*1.11</f>
        <v>34965</v>
      </c>
      <c r="V8" s="5">
        <f t="shared" ref="V8:Y8" si="8">U8*1.11</f>
        <v>38811.15</v>
      </c>
      <c r="W8" s="5">
        <f t="shared" si="8"/>
        <v>43080.376500000006</v>
      </c>
      <c r="X8" s="5">
        <f t="shared" si="8"/>
        <v>47819.217915000008</v>
      </c>
      <c r="Y8" s="5">
        <f t="shared" si="8"/>
        <v>53079.331885650012</v>
      </c>
    </row>
    <row r="9" spans="1:25" ht="15" x14ac:dyDescent="0.25">
      <c r="A9" s="1" t="s">
        <v>11</v>
      </c>
      <c r="E9" s="4"/>
      <c r="F9" s="4"/>
      <c r="G9" s="4"/>
      <c r="H9" s="4"/>
      <c r="I9" s="4"/>
      <c r="J9" s="4"/>
      <c r="K9" s="4"/>
      <c r="O9" s="5"/>
      <c r="Q9" s="1">
        <v>7582</v>
      </c>
      <c r="R9" s="1">
        <v>10151</v>
      </c>
      <c r="S9" s="1">
        <v>10407</v>
      </c>
    </row>
    <row r="10" spans="1:25" ht="15" x14ac:dyDescent="0.25">
      <c r="A10" s="1" t="s">
        <v>12</v>
      </c>
      <c r="O10" s="5"/>
      <c r="Q10" s="1">
        <v>2891</v>
      </c>
      <c r="R10" s="1">
        <v>3271</v>
      </c>
      <c r="S10" s="1">
        <v>3364</v>
      </c>
    </row>
    <row r="11" spans="1:25" ht="15" x14ac:dyDescent="0.25">
      <c r="A11" s="1" t="s">
        <v>13</v>
      </c>
      <c r="B11" s="1">
        <f t="shared" ref="B11" si="9">SUM(B9:B10)</f>
        <v>0</v>
      </c>
      <c r="C11" s="1">
        <f t="shared" ref="C11" si="10">SUM(C9:C10)</f>
        <v>0</v>
      </c>
      <c r="D11" s="1">
        <f t="shared" ref="D11" si="11">SUM(D9:D10)</f>
        <v>0</v>
      </c>
      <c r="E11" s="1">
        <v>3520</v>
      </c>
      <c r="F11" s="1">
        <v>2593</v>
      </c>
      <c r="G11" s="1">
        <v>3031</v>
      </c>
      <c r="H11" s="1">
        <v>3674</v>
      </c>
      <c r="I11" s="1">
        <v>4463</v>
      </c>
      <c r="J11" s="1">
        <f t="shared" ref="J11" si="12">J8*(1-J29)</f>
        <v>3561.3199999999997</v>
      </c>
      <c r="K11" s="1">
        <f>K8*(1-K29)</f>
        <v>3589</v>
      </c>
      <c r="N11" s="5"/>
      <c r="O11" s="5"/>
      <c r="Q11" s="1">
        <f>SUM(Q9:Q10)</f>
        <v>10473</v>
      </c>
      <c r="R11" s="1">
        <f t="shared" ref="R11:S11" si="13">SUM(R9:R10)</f>
        <v>13422</v>
      </c>
      <c r="S11" s="1">
        <f t="shared" si="13"/>
        <v>13771</v>
      </c>
      <c r="T11" s="1">
        <f t="shared" ref="T11:Y11" si="14">T8*(1-T29)</f>
        <v>14962.5</v>
      </c>
      <c r="U11" s="1">
        <f t="shared" si="14"/>
        <v>16333.025625</v>
      </c>
      <c r="V11" s="1">
        <f t="shared" si="14"/>
        <v>17819.436070406253</v>
      </c>
      <c r="W11" s="1">
        <f t="shared" si="14"/>
        <v>19430.06200122321</v>
      </c>
      <c r="X11" s="1">
        <f t="shared" si="14"/>
        <v>21173.591084953132</v>
      </c>
      <c r="Y11" s="1">
        <f t="shared" si="14"/>
        <v>23059.036417577696</v>
      </c>
    </row>
    <row r="12" spans="1:25" x14ac:dyDescent="0.2">
      <c r="A12" s="1" t="s">
        <v>14</v>
      </c>
      <c r="B12" s="1">
        <f>B8-B11</f>
        <v>0</v>
      </c>
      <c r="C12" s="1">
        <f t="shared" ref="C12:E12" si="15">C8-C11</f>
        <v>0</v>
      </c>
      <c r="D12" s="1">
        <f t="shared" si="15"/>
        <v>0</v>
      </c>
      <c r="E12" s="1">
        <f t="shared" si="15"/>
        <v>3717</v>
      </c>
      <c r="F12" s="1">
        <f>F8-F11</f>
        <v>2697</v>
      </c>
      <c r="G12" s="1">
        <f t="shared" ref="G12:K12" si="16">G8-G11</f>
        <v>3212</v>
      </c>
      <c r="H12" s="1">
        <f t="shared" si="16"/>
        <v>3793</v>
      </c>
      <c r="I12" s="1">
        <f>I8-I11</f>
        <v>4800</v>
      </c>
      <c r="J12" s="1">
        <f t="shared" si="16"/>
        <v>4180.68</v>
      </c>
      <c r="K12" s="1">
        <f t="shared" si="16"/>
        <v>3811</v>
      </c>
      <c r="O12" s="1">
        <v>6978</v>
      </c>
      <c r="P12" s="1">
        <v>9809</v>
      </c>
      <c r="Q12" s="1">
        <f>Q8-Q11</f>
        <v>10700</v>
      </c>
      <c r="R12" s="1">
        <f t="shared" ref="R12:S12" si="17">R8-R11</f>
        <v>14137</v>
      </c>
      <c r="S12" s="1">
        <f t="shared" si="17"/>
        <v>14492</v>
      </c>
      <c r="T12" s="1">
        <f t="shared" ref="T12" si="18">T8-T11</f>
        <v>16537.5</v>
      </c>
      <c r="U12" s="1">
        <f t="shared" ref="U12" si="19">U8-U11</f>
        <v>18631.974374999998</v>
      </c>
      <c r="V12" s="1">
        <f t="shared" ref="V12" si="20">V8-V11</f>
        <v>20991.713929593749</v>
      </c>
      <c r="W12" s="1">
        <f t="shared" ref="W12" si="21">W8-W11</f>
        <v>23650.314498776796</v>
      </c>
      <c r="X12" s="1">
        <f t="shared" ref="X12:Y12" si="22">X8-X11</f>
        <v>26645.626830046876</v>
      </c>
      <c r="Y12" s="1">
        <f t="shared" si="22"/>
        <v>30020.295468072316</v>
      </c>
    </row>
    <row r="13" spans="1:25" x14ac:dyDescent="0.2">
      <c r="A13" s="1" t="s">
        <v>15</v>
      </c>
      <c r="E13" s="1">
        <v>1041</v>
      </c>
      <c r="F13" s="1">
        <v>1032</v>
      </c>
      <c r="G13" s="1">
        <v>1100</v>
      </c>
      <c r="H13" s="1">
        <v>1055</v>
      </c>
      <c r="I13" s="1">
        <v>1116</v>
      </c>
      <c r="J13" s="1">
        <v>1161</v>
      </c>
      <c r="K13" s="1">
        <v>1200</v>
      </c>
      <c r="O13" s="1">
        <v>2201</v>
      </c>
      <c r="P13" s="1">
        <v>2547</v>
      </c>
      <c r="Q13" s="1">
        <v>3253</v>
      </c>
      <c r="R13" s="1">
        <v>3980</v>
      </c>
      <c r="S13" s="1">
        <v>4303</v>
      </c>
      <c r="T13" s="1">
        <f>S13*(1+T25)</f>
        <v>4795.8284683154652</v>
      </c>
      <c r="U13" s="1">
        <f t="shared" ref="U13:X13" si="23">T13*(1+U25)</f>
        <v>5323.3695998301664</v>
      </c>
      <c r="V13" s="1">
        <f t="shared" si="23"/>
        <v>5908.9402558114853</v>
      </c>
      <c r="W13" s="1">
        <f t="shared" si="23"/>
        <v>6558.9236839507494</v>
      </c>
      <c r="X13" s="1">
        <f t="shared" si="23"/>
        <v>7280.4052891853325</v>
      </c>
      <c r="Y13" s="1">
        <f t="shared" ref="Y13" si="24">X13*(1+Y25)</f>
        <v>8081.2498709957199</v>
      </c>
    </row>
    <row r="14" spans="1:25" x14ac:dyDescent="0.2">
      <c r="A14" s="1" t="s">
        <v>16</v>
      </c>
      <c r="E14" s="1">
        <v>284</v>
      </c>
      <c r="F14" s="1">
        <v>273</v>
      </c>
      <c r="G14" s="1">
        <v>277</v>
      </c>
      <c r="H14" s="1">
        <v>297</v>
      </c>
      <c r="I14" s="1">
        <v>318.39999999999998</v>
      </c>
      <c r="J14" s="1">
        <v>280</v>
      </c>
      <c r="K14" s="1">
        <v>300</v>
      </c>
      <c r="O14" s="1">
        <v>545</v>
      </c>
      <c r="P14" s="1">
        <v>726</v>
      </c>
      <c r="Q14" s="1">
        <v>945</v>
      </c>
      <c r="R14" s="1">
        <v>1113</v>
      </c>
      <c r="S14" s="1">
        <v>1165</v>
      </c>
      <c r="T14" s="1">
        <f>S14*(1+T25)</f>
        <v>1298.4290415030252</v>
      </c>
      <c r="U14" s="1">
        <f t="shared" ref="U14:X14" si="25">T14*(1+U25)</f>
        <v>1441.2562360683582</v>
      </c>
      <c r="V14" s="1">
        <f t="shared" si="25"/>
        <v>1599.7944220358777</v>
      </c>
      <c r="W14" s="1">
        <f t="shared" si="25"/>
        <v>1775.7718084598243</v>
      </c>
      <c r="X14" s="1">
        <f t="shared" si="25"/>
        <v>1971.1067073904053</v>
      </c>
      <c r="Y14" s="1">
        <f t="shared" ref="Y14" si="26">X14*(1+Y25)</f>
        <v>2187.9284452033498</v>
      </c>
    </row>
    <row r="15" spans="1:25" x14ac:dyDescent="0.2">
      <c r="A15" s="1" t="s">
        <v>17</v>
      </c>
      <c r="B15" s="1">
        <f>SUM(B13:B14)</f>
        <v>0</v>
      </c>
      <c r="C15" s="1">
        <f t="shared" ref="C15:E15" si="27">SUM(C13:C14)</f>
        <v>0</v>
      </c>
      <c r="D15" s="1">
        <f t="shared" si="27"/>
        <v>0</v>
      </c>
      <c r="E15" s="1">
        <f t="shared" si="27"/>
        <v>1325</v>
      </c>
      <c r="F15" s="1">
        <f t="shared" ref="F15:K15" si="28">SUM(F13:F14)</f>
        <v>1305</v>
      </c>
      <c r="G15" s="1">
        <f t="shared" si="28"/>
        <v>1377</v>
      </c>
      <c r="H15" s="1">
        <f t="shared" si="28"/>
        <v>1352</v>
      </c>
      <c r="I15" s="1">
        <f t="shared" si="28"/>
        <v>1434.4</v>
      </c>
      <c r="J15" s="1">
        <f t="shared" si="28"/>
        <v>1441</v>
      </c>
      <c r="K15" s="1">
        <f t="shared" si="28"/>
        <v>1500</v>
      </c>
      <c r="O15" s="1">
        <f>SUM(O13:O14)</f>
        <v>2746</v>
      </c>
      <c r="P15" s="1">
        <f>SUM(P13:P14)</f>
        <v>3273</v>
      </c>
      <c r="Q15" s="1">
        <f>SUM(Q13:Q14)</f>
        <v>4198</v>
      </c>
      <c r="R15" s="1">
        <f t="shared" ref="R15:S15" si="29">SUM(R13:R14)</f>
        <v>5093</v>
      </c>
      <c r="S15" s="1">
        <f t="shared" si="29"/>
        <v>5468</v>
      </c>
      <c r="T15" s="1">
        <f t="shared" ref="T15" si="30">SUM(T13:T14)</f>
        <v>6094.2575098184907</v>
      </c>
      <c r="U15" s="1">
        <f t="shared" ref="U15" si="31">SUM(U13:U14)</f>
        <v>6764.6258358985251</v>
      </c>
      <c r="V15" s="1">
        <f t="shared" ref="V15" si="32">SUM(V13:V14)</f>
        <v>7508.7346778473629</v>
      </c>
      <c r="W15" s="1">
        <f t="shared" ref="W15" si="33">SUM(W13:W14)</f>
        <v>8334.6954924105739</v>
      </c>
      <c r="X15" s="1">
        <f t="shared" ref="X15" si="34">SUM(X13:X14)</f>
        <v>9251.5119965757385</v>
      </c>
      <c r="Y15" s="1">
        <f>SUM(Y13:Y14)</f>
        <v>10269.17831619907</v>
      </c>
    </row>
    <row r="16" spans="1:25" x14ac:dyDescent="0.2">
      <c r="A16" s="1" t="s">
        <v>18</v>
      </c>
      <c r="B16" s="1">
        <f>B12-B15</f>
        <v>0</v>
      </c>
      <c r="C16" s="1">
        <f t="shared" ref="C16:E16" si="35">C12-C15</f>
        <v>0</v>
      </c>
      <c r="D16" s="1">
        <f t="shared" si="35"/>
        <v>0</v>
      </c>
      <c r="E16" s="1">
        <f t="shared" si="35"/>
        <v>2392</v>
      </c>
      <c r="F16" s="1">
        <f>F12-F15</f>
        <v>1392</v>
      </c>
      <c r="G16" s="1">
        <f t="shared" ref="G16:K16" si="36">G12-G15</f>
        <v>1835</v>
      </c>
      <c r="H16" s="1">
        <f t="shared" si="36"/>
        <v>2441</v>
      </c>
      <c r="I16" s="1">
        <f t="shared" si="36"/>
        <v>3365.6</v>
      </c>
      <c r="J16" s="1">
        <f t="shared" si="36"/>
        <v>2739.6800000000003</v>
      </c>
      <c r="K16" s="1">
        <f t="shared" si="36"/>
        <v>2311</v>
      </c>
      <c r="O16" s="1">
        <f>O12-O15</f>
        <v>4232</v>
      </c>
      <c r="P16" s="1">
        <f>P12-P15</f>
        <v>6536</v>
      </c>
      <c r="Q16" s="1">
        <f>Q12-Q15</f>
        <v>6502</v>
      </c>
      <c r="R16" s="1">
        <f t="shared" ref="R16:S16" si="37">R12-R15</f>
        <v>9044</v>
      </c>
      <c r="S16" s="1">
        <f t="shared" si="37"/>
        <v>9024</v>
      </c>
      <c r="T16" s="1">
        <f t="shared" ref="T16" si="38">T12-T15</f>
        <v>10443.24249018151</v>
      </c>
      <c r="U16" s="1">
        <f t="shared" ref="U16" si="39">U12-U15</f>
        <v>11867.348539101473</v>
      </c>
      <c r="V16" s="1">
        <f t="shared" ref="V16" si="40">V12-V15</f>
        <v>13482.979251746387</v>
      </c>
      <c r="W16" s="1">
        <f t="shared" ref="W16" si="41">W12-W15</f>
        <v>15315.619006366222</v>
      </c>
      <c r="X16" s="1">
        <f t="shared" ref="X16:Y16" si="42">X12-X15</f>
        <v>17394.11483347114</v>
      </c>
      <c r="Y16" s="1">
        <f t="shared" si="42"/>
        <v>19751.117151873244</v>
      </c>
    </row>
    <row r="17" spans="1:115" x14ac:dyDescent="0.2">
      <c r="A17" s="1" t="s">
        <v>19</v>
      </c>
      <c r="E17" s="1">
        <v>5.2</v>
      </c>
      <c r="F17" s="1">
        <v>26</v>
      </c>
      <c r="G17" s="1">
        <v>-12</v>
      </c>
      <c r="H17" s="1">
        <v>-1</v>
      </c>
      <c r="I17" s="1">
        <v>6.3</v>
      </c>
      <c r="J17" s="1">
        <v>49</v>
      </c>
      <c r="K17" s="1">
        <f>J35*(AB25/4)</f>
        <v>-11.264999999999999</v>
      </c>
      <c r="Q17" s="1">
        <v>-44.6</v>
      </c>
      <c r="R17" s="1">
        <v>41</v>
      </c>
      <c r="S17" s="1">
        <v>20</v>
      </c>
      <c r="T17" s="1">
        <f t="shared" ref="T17:Y17" si="43">S35*$AB$25</f>
        <v>160.79999999999998</v>
      </c>
      <c r="U17" s="1">
        <f t="shared" si="43"/>
        <v>702.92441122386163</v>
      </c>
      <c r="V17" s="1">
        <f t="shared" si="43"/>
        <v>1329.4275122959057</v>
      </c>
      <c r="W17" s="1">
        <f t="shared" si="43"/>
        <v>2066.6129786400797</v>
      </c>
      <c r="X17" s="1">
        <f t="shared" si="43"/>
        <v>2930.5952254603935</v>
      </c>
      <c r="Y17" s="1">
        <f t="shared" si="43"/>
        <v>3939.694541631864</v>
      </c>
    </row>
    <row r="18" spans="1:115" x14ac:dyDescent="0.2">
      <c r="A18" s="1" t="s">
        <v>20</v>
      </c>
      <c r="B18" s="1">
        <f>B16+B17</f>
        <v>0</v>
      </c>
      <c r="C18" s="1">
        <f t="shared" ref="C18:E18" si="44">C16+C17</f>
        <v>0</v>
      </c>
      <c r="D18" s="1">
        <f t="shared" si="44"/>
        <v>0</v>
      </c>
      <c r="E18" s="1">
        <f t="shared" si="44"/>
        <v>2397.1999999999998</v>
      </c>
      <c r="F18" s="1">
        <f>F16+F17</f>
        <v>1418</v>
      </c>
      <c r="G18" s="1">
        <f t="shared" ref="G18:K18" si="45">G16+G17</f>
        <v>1823</v>
      </c>
      <c r="H18" s="1">
        <f t="shared" si="45"/>
        <v>2440</v>
      </c>
      <c r="I18" s="1">
        <f>I16+I17</f>
        <v>3371.9</v>
      </c>
      <c r="J18" s="1">
        <f t="shared" si="45"/>
        <v>2788.6800000000003</v>
      </c>
      <c r="K18" s="1">
        <f t="shared" si="45"/>
        <v>2299.7350000000001</v>
      </c>
      <c r="O18" s="1">
        <f>O16+O17</f>
        <v>4232</v>
      </c>
      <c r="P18" s="1">
        <f>P16+P17</f>
        <v>6536</v>
      </c>
      <c r="Q18" s="1">
        <f>Q16+Q17</f>
        <v>6457.4</v>
      </c>
      <c r="R18" s="1">
        <f t="shared" ref="R18:S18" si="46">R16+R17</f>
        <v>9085</v>
      </c>
      <c r="S18" s="1">
        <f t="shared" si="46"/>
        <v>9044</v>
      </c>
      <c r="T18" s="1">
        <f t="shared" ref="T18" si="47">T16+T17</f>
        <v>10604.042490181509</v>
      </c>
      <c r="U18" s="1">
        <f t="shared" ref="U18" si="48">U16+U17</f>
        <v>12570.272950325334</v>
      </c>
      <c r="V18" s="1">
        <f t="shared" ref="V18" si="49">V16+V17</f>
        <v>14812.406764042293</v>
      </c>
      <c r="W18" s="1">
        <f t="shared" ref="W18" si="50">W16+W17</f>
        <v>17382.2319850063</v>
      </c>
      <c r="X18" s="1">
        <f t="shared" ref="X18:Y18" si="51">X16+X17</f>
        <v>20324.710058931534</v>
      </c>
      <c r="Y18" s="1">
        <f t="shared" si="51"/>
        <v>23690.811693505108</v>
      </c>
    </row>
    <row r="19" spans="1:115" x14ac:dyDescent="0.2">
      <c r="A19" s="1" t="s">
        <v>21</v>
      </c>
      <c r="E19" s="1">
        <v>386</v>
      </c>
      <c r="F19" s="1">
        <v>224</v>
      </c>
      <c r="G19" s="1">
        <v>292</v>
      </c>
      <c r="H19" s="1">
        <v>441</v>
      </c>
      <c r="I19" s="1">
        <v>723.8</v>
      </c>
      <c r="J19" s="1">
        <v>465</v>
      </c>
      <c r="K19" s="1">
        <f>K18*K27</f>
        <v>390.95495000000005</v>
      </c>
      <c r="Q19" s="1">
        <v>970</v>
      </c>
      <c r="R19" s="1">
        <v>1436</v>
      </c>
      <c r="S19" s="1">
        <v>1681</v>
      </c>
      <c r="T19" s="1">
        <f>T18*T27</f>
        <v>1802.6872233308568</v>
      </c>
      <c r="U19" s="1">
        <f t="shared" ref="U19:Y19" si="52">U18*U27</f>
        <v>2388.3518605618133</v>
      </c>
      <c r="V19" s="1">
        <f t="shared" si="52"/>
        <v>2814.3572851680356</v>
      </c>
      <c r="W19" s="1">
        <f t="shared" si="52"/>
        <v>3302.6240771511971</v>
      </c>
      <c r="X19" s="1">
        <f t="shared" si="52"/>
        <v>3861.6949111969916</v>
      </c>
      <c r="Y19" s="1">
        <f t="shared" si="52"/>
        <v>4501.2542217659702</v>
      </c>
    </row>
    <row r="20" spans="1:115" x14ac:dyDescent="0.2">
      <c r="A20" s="1" t="s">
        <v>23</v>
      </c>
      <c r="E20" s="1">
        <v>36.6</v>
      </c>
      <c r="F20" s="1">
        <v>30.2</v>
      </c>
      <c r="G20" s="1">
        <v>47</v>
      </c>
      <c r="H20" s="1">
        <v>77</v>
      </c>
      <c r="I20" s="1">
        <v>55.5</v>
      </c>
      <c r="J20" s="1">
        <f>I20*(1+J26)</f>
        <v>46.386807729677209</v>
      </c>
      <c r="K20" s="1">
        <v>50</v>
      </c>
      <c r="Q20" s="1">
        <v>138</v>
      </c>
      <c r="R20" s="1">
        <v>191</v>
      </c>
      <c r="S20" s="1">
        <v>210</v>
      </c>
      <c r="T20" s="1">
        <f>S20*(1+T25)</f>
        <v>234.05158688037363</v>
      </c>
      <c r="U20" s="1">
        <f t="shared" ref="U20:X20" si="53">T20*(1+U25)</f>
        <v>259.79726143721473</v>
      </c>
      <c r="V20" s="1">
        <f t="shared" si="53"/>
        <v>288.37496019530835</v>
      </c>
      <c r="W20" s="1">
        <f t="shared" si="53"/>
        <v>320.09620581679229</v>
      </c>
      <c r="X20" s="1">
        <f t="shared" si="53"/>
        <v>355.30678845663948</v>
      </c>
      <c r="Y20" s="1">
        <f t="shared" ref="Y20" si="54">X20*(1+Y25)</f>
        <v>394.39053518686984</v>
      </c>
    </row>
    <row r="21" spans="1:115" s="5" customFormat="1" ht="15" x14ac:dyDescent="0.25">
      <c r="A21" s="5" t="s">
        <v>22</v>
      </c>
      <c r="B21" s="5">
        <f>B18-B19+B20</f>
        <v>0</v>
      </c>
      <c r="C21" s="5">
        <f t="shared" ref="C21:E21" si="55">C18-C19+C20</f>
        <v>0</v>
      </c>
      <c r="D21" s="5">
        <f t="shared" si="55"/>
        <v>0</v>
      </c>
      <c r="E21" s="5">
        <f t="shared" si="55"/>
        <v>2047.7999999999997</v>
      </c>
      <c r="F21" s="5">
        <f>F18-F19+F20</f>
        <v>1224.2</v>
      </c>
      <c r="G21" s="5">
        <f t="shared" ref="G21:K21" si="56">G18-G19+G20</f>
        <v>1578</v>
      </c>
      <c r="H21" s="5">
        <f t="shared" si="56"/>
        <v>2076</v>
      </c>
      <c r="I21" s="5">
        <f>I18-I19+I20</f>
        <v>2703.6000000000004</v>
      </c>
      <c r="J21" s="5">
        <f t="shared" si="56"/>
        <v>2370.0668077296773</v>
      </c>
      <c r="K21" s="5">
        <f t="shared" si="56"/>
        <v>1958.7800500000001</v>
      </c>
      <c r="O21" s="5">
        <v>3554</v>
      </c>
      <c r="P21" s="5">
        <v>5883</v>
      </c>
      <c r="Q21" s="5">
        <f>Q18-Q19+Q20</f>
        <v>5625.4</v>
      </c>
      <c r="R21" s="5">
        <f t="shared" ref="R21:S21" si="57">R18-R19+R20</f>
        <v>7840</v>
      </c>
      <c r="S21" s="5">
        <f t="shared" si="57"/>
        <v>7573</v>
      </c>
      <c r="T21" s="5">
        <f t="shared" ref="T21" si="58">T18-T19+T20</f>
        <v>9035.4068537310268</v>
      </c>
      <c r="U21" s="5">
        <f t="shared" ref="U21" si="59">U18-U19+U20</f>
        <v>10441.718351200736</v>
      </c>
      <c r="V21" s="5">
        <f t="shared" ref="V21" si="60">V18-V19+V20</f>
        <v>12286.424439069566</v>
      </c>
      <c r="W21" s="5">
        <f t="shared" ref="W21" si="61">W18-W19+W20</f>
        <v>14399.704113671894</v>
      </c>
      <c r="X21" s="5">
        <f t="shared" ref="X21:Y21" si="62">X18-X19+X20</f>
        <v>16818.321936191183</v>
      </c>
      <c r="Y21" s="5">
        <f t="shared" si="62"/>
        <v>19583.948006926006</v>
      </c>
      <c r="Z21" s="5">
        <f t="shared" ref="Z21:BE21" si="63">Y21*(1+$AB$26)</f>
        <v>19779.787486995265</v>
      </c>
      <c r="AA21" s="5">
        <f t="shared" si="63"/>
        <v>19977.585361865218</v>
      </c>
      <c r="AB21" s="5">
        <f t="shared" si="63"/>
        <v>20177.36121548387</v>
      </c>
      <c r="AC21" s="5">
        <f t="shared" si="63"/>
        <v>20379.134827638711</v>
      </c>
      <c r="AD21" s="5">
        <f t="shared" si="63"/>
        <v>20582.926175915098</v>
      </c>
      <c r="AE21" s="5">
        <f t="shared" si="63"/>
        <v>20788.755437674248</v>
      </c>
      <c r="AF21" s="5">
        <f t="shared" si="63"/>
        <v>20996.642992050991</v>
      </c>
      <c r="AG21" s="5">
        <f t="shared" si="63"/>
        <v>21206.609421971501</v>
      </c>
      <c r="AH21" s="5">
        <f t="shared" si="63"/>
        <v>21418.675516191215</v>
      </c>
      <c r="AI21" s="5">
        <f t="shared" si="63"/>
        <v>21632.862271353126</v>
      </c>
      <c r="AJ21" s="5">
        <f t="shared" si="63"/>
        <v>21849.190894066658</v>
      </c>
      <c r="AK21" s="5">
        <f t="shared" si="63"/>
        <v>22067.682803007327</v>
      </c>
      <c r="AL21" s="5">
        <f t="shared" si="63"/>
        <v>22288.359631037401</v>
      </c>
      <c r="AM21" s="5">
        <f t="shared" si="63"/>
        <v>22511.243227347775</v>
      </c>
      <c r="AN21" s="5">
        <f t="shared" si="63"/>
        <v>22736.355659621255</v>
      </c>
      <c r="AO21" s="5">
        <f t="shared" si="63"/>
        <v>22963.719216217469</v>
      </c>
      <c r="AP21" s="5">
        <f t="shared" si="63"/>
        <v>23193.356408379645</v>
      </c>
      <c r="AQ21" s="5">
        <f t="shared" si="63"/>
        <v>23425.289972463441</v>
      </c>
      <c r="AR21" s="5">
        <f t="shared" si="63"/>
        <v>23659.542872188074</v>
      </c>
      <c r="AS21" s="5">
        <f t="shared" si="63"/>
        <v>23896.138300909955</v>
      </c>
      <c r="AT21" s="5">
        <f t="shared" si="63"/>
        <v>24135.099683919056</v>
      </c>
      <c r="AU21" s="5">
        <f t="shared" si="63"/>
        <v>24376.450680758247</v>
      </c>
      <c r="AV21" s="5">
        <f t="shared" si="63"/>
        <v>24620.215187565831</v>
      </c>
      <c r="AW21" s="5">
        <f t="shared" si="63"/>
        <v>24866.41733944149</v>
      </c>
      <c r="AX21" s="5">
        <f t="shared" si="63"/>
        <v>25115.081512835906</v>
      </c>
      <c r="AY21" s="5">
        <f t="shared" si="63"/>
        <v>25366.232327964266</v>
      </c>
      <c r="AZ21" s="5">
        <f t="shared" si="63"/>
        <v>25619.894651243911</v>
      </c>
      <c r="BA21" s="5">
        <f t="shared" si="63"/>
        <v>25876.093597756349</v>
      </c>
      <c r="BB21" s="5">
        <f t="shared" si="63"/>
        <v>26134.854533733913</v>
      </c>
      <c r="BC21" s="5">
        <f t="shared" si="63"/>
        <v>26396.203079071252</v>
      </c>
      <c r="BD21" s="5">
        <f t="shared" si="63"/>
        <v>26660.165109861966</v>
      </c>
      <c r="BE21" s="5">
        <f t="shared" si="63"/>
        <v>26926.766760960585</v>
      </c>
      <c r="BF21" s="5">
        <f t="shared" ref="BF21:CK21" si="64">BE21*(1+$AB$26)</f>
        <v>27196.03442857019</v>
      </c>
      <c r="BG21" s="5">
        <f t="shared" si="64"/>
        <v>27467.994772855891</v>
      </c>
      <c r="BH21" s="5">
        <f t="shared" si="64"/>
        <v>27742.674720584451</v>
      </c>
      <c r="BI21" s="5">
        <f t="shared" si="64"/>
        <v>28020.101467790297</v>
      </c>
      <c r="BJ21" s="5">
        <f t="shared" si="64"/>
        <v>28300.3024824682</v>
      </c>
      <c r="BK21" s="5">
        <f t="shared" si="64"/>
        <v>28583.305507292884</v>
      </c>
      <c r="BL21" s="5">
        <f t="shared" si="64"/>
        <v>28869.138562365813</v>
      </c>
      <c r="BM21" s="5">
        <f t="shared" si="64"/>
        <v>29157.82994798947</v>
      </c>
      <c r="BN21" s="5">
        <f t="shared" si="64"/>
        <v>29449.408247469364</v>
      </c>
      <c r="BO21" s="5">
        <f t="shared" si="64"/>
        <v>29743.90232994406</v>
      </c>
      <c r="BP21" s="5">
        <f t="shared" si="64"/>
        <v>30041.341353243501</v>
      </c>
      <c r="BQ21" s="5">
        <f t="shared" si="64"/>
        <v>30341.754766775935</v>
      </c>
      <c r="BR21" s="5">
        <f t="shared" si="64"/>
        <v>30645.172314443695</v>
      </c>
      <c r="BS21" s="5">
        <f t="shared" si="64"/>
        <v>30951.624037588132</v>
      </c>
      <c r="BT21" s="5">
        <f t="shared" si="64"/>
        <v>31261.140277964012</v>
      </c>
      <c r="BU21" s="5">
        <f t="shared" si="64"/>
        <v>31573.751680743651</v>
      </c>
      <c r="BV21" s="5">
        <f t="shared" si="64"/>
        <v>31889.489197551087</v>
      </c>
      <c r="BW21" s="5">
        <f t="shared" si="64"/>
        <v>32208.384089526597</v>
      </c>
      <c r="BX21" s="5">
        <f t="shared" si="64"/>
        <v>32530.467930421863</v>
      </c>
      <c r="BY21" s="5">
        <f t="shared" si="64"/>
        <v>32855.772609726082</v>
      </c>
      <c r="BZ21" s="5">
        <f t="shared" si="64"/>
        <v>33184.330335823346</v>
      </c>
      <c r="CA21" s="5">
        <f t="shared" si="64"/>
        <v>33516.173639181579</v>
      </c>
      <c r="CB21" s="5">
        <f t="shared" si="64"/>
        <v>33851.335375573399</v>
      </c>
      <c r="CC21" s="5">
        <f t="shared" si="64"/>
        <v>34189.848729329133</v>
      </c>
      <c r="CD21" s="5">
        <f t="shared" si="64"/>
        <v>34531.747216622425</v>
      </c>
      <c r="CE21" s="5">
        <f t="shared" si="64"/>
        <v>34877.064688788647</v>
      </c>
      <c r="CF21" s="5">
        <f t="shared" si="64"/>
        <v>35225.835335676536</v>
      </c>
      <c r="CG21" s="5">
        <f t="shared" si="64"/>
        <v>35578.093689033303</v>
      </c>
      <c r="CH21" s="5">
        <f t="shared" si="64"/>
        <v>35933.874625923636</v>
      </c>
      <c r="CI21" s="5">
        <f t="shared" si="64"/>
        <v>36293.213372182872</v>
      </c>
      <c r="CJ21" s="5">
        <f t="shared" si="64"/>
        <v>36656.1455059047</v>
      </c>
      <c r="CK21" s="5">
        <f t="shared" si="64"/>
        <v>37022.706960963747</v>
      </c>
      <c r="CL21" s="5">
        <f t="shared" ref="CL21:DK21" si="65">CK21*(1+$AB$26)</f>
        <v>37392.934030573386</v>
      </c>
      <c r="CM21" s="5">
        <f t="shared" si="65"/>
        <v>37766.863370879117</v>
      </c>
      <c r="CN21" s="5">
        <f t="shared" si="65"/>
        <v>38144.532004587905</v>
      </c>
      <c r="CO21" s="5">
        <f t="shared" si="65"/>
        <v>38525.977324633786</v>
      </c>
      <c r="CP21" s="5">
        <f t="shared" si="65"/>
        <v>38911.237097880126</v>
      </c>
      <c r="CQ21" s="5">
        <f t="shared" si="65"/>
        <v>39300.349468858927</v>
      </c>
      <c r="CR21" s="5">
        <f t="shared" si="65"/>
        <v>39693.352963547513</v>
      </c>
      <c r="CS21" s="5">
        <f t="shared" si="65"/>
        <v>40090.28649318299</v>
      </c>
      <c r="CT21" s="5">
        <f t="shared" si="65"/>
        <v>40491.189358114818</v>
      </c>
      <c r="CU21" s="5">
        <f t="shared" si="65"/>
        <v>40896.101251695967</v>
      </c>
      <c r="CV21" s="5">
        <f t="shared" si="65"/>
        <v>41305.062264212924</v>
      </c>
      <c r="CW21" s="5">
        <f t="shared" si="65"/>
        <v>41718.112886855051</v>
      </c>
      <c r="CX21" s="5">
        <f t="shared" si="65"/>
        <v>42135.294015723601</v>
      </c>
      <c r="CY21" s="5">
        <f t="shared" si="65"/>
        <v>42556.646955880839</v>
      </c>
      <c r="CZ21" s="5">
        <f t="shared" si="65"/>
        <v>42982.213425439644</v>
      </c>
      <c r="DA21" s="5">
        <f t="shared" si="65"/>
        <v>43412.035559694043</v>
      </c>
      <c r="DB21" s="5">
        <f t="shared" si="65"/>
        <v>43846.155915290983</v>
      </c>
      <c r="DC21" s="5">
        <f t="shared" si="65"/>
        <v>44284.61747444389</v>
      </c>
      <c r="DD21" s="5">
        <f t="shared" si="65"/>
        <v>44727.463649188328</v>
      </c>
      <c r="DE21" s="5">
        <f t="shared" si="65"/>
        <v>45174.738285680214</v>
      </c>
      <c r="DF21" s="5">
        <f t="shared" si="65"/>
        <v>45626.485668537018</v>
      </c>
      <c r="DG21" s="5">
        <f t="shared" si="65"/>
        <v>46082.750525222385</v>
      </c>
      <c r="DH21" s="5">
        <f t="shared" si="65"/>
        <v>46543.578030474608</v>
      </c>
      <c r="DI21" s="5">
        <f t="shared" si="65"/>
        <v>47009.013810779354</v>
      </c>
      <c r="DJ21" s="5">
        <f t="shared" si="65"/>
        <v>47479.103948887147</v>
      </c>
      <c r="DK21" s="5">
        <f t="shared" si="65"/>
        <v>47953.894988376022</v>
      </c>
    </row>
    <row r="22" spans="1:115" x14ac:dyDescent="0.2">
      <c r="A22" s="1" t="s">
        <v>1</v>
      </c>
      <c r="E22" s="1">
        <v>394</v>
      </c>
      <c r="F22" s="1">
        <v>394</v>
      </c>
      <c r="G22" s="1">
        <v>393</v>
      </c>
      <c r="H22" s="1">
        <v>394</v>
      </c>
      <c r="I22" s="1">
        <v>394</v>
      </c>
      <c r="J22" s="1">
        <v>392</v>
      </c>
      <c r="K22" s="1">
        <v>392</v>
      </c>
      <c r="Q22" s="1">
        <v>396</v>
      </c>
      <c r="R22" s="1">
        <v>394</v>
      </c>
      <c r="S22" s="1">
        <v>393.6</v>
      </c>
      <c r="T22" s="1">
        <v>393.6</v>
      </c>
      <c r="U22" s="1">
        <v>393.6</v>
      </c>
      <c r="V22" s="1">
        <v>393.6</v>
      </c>
      <c r="W22" s="1">
        <v>393.6</v>
      </c>
      <c r="X22" s="1">
        <v>393.6</v>
      </c>
      <c r="Y22" s="1">
        <v>393.6</v>
      </c>
    </row>
    <row r="23" spans="1:115" x14ac:dyDescent="0.2">
      <c r="A23" s="1" t="s">
        <v>24</v>
      </c>
      <c r="B23" s="3" t="e">
        <f>B21/B22</f>
        <v>#DIV/0!</v>
      </c>
      <c r="C23" s="3" t="e">
        <f t="shared" ref="C23:E23" si="66">C21/C22</f>
        <v>#DIV/0!</v>
      </c>
      <c r="D23" s="3" t="e">
        <f t="shared" si="66"/>
        <v>#DIV/0!</v>
      </c>
      <c r="E23" s="3">
        <f t="shared" si="66"/>
        <v>5.1974619289340094</v>
      </c>
      <c r="F23" s="3">
        <f>F21/F22</f>
        <v>3.1071065989847715</v>
      </c>
      <c r="G23" s="3">
        <f t="shared" ref="G23:K23" si="67">G21/G22</f>
        <v>4.0152671755725189</v>
      </c>
      <c r="H23" s="3">
        <f t="shared" si="67"/>
        <v>5.2690355329949234</v>
      </c>
      <c r="I23" s="3">
        <f t="shared" si="67"/>
        <v>6.8619289340101535</v>
      </c>
      <c r="J23" s="3">
        <f t="shared" si="67"/>
        <v>6.0460887952287683</v>
      </c>
      <c r="K23" s="3">
        <f t="shared" si="67"/>
        <v>4.9968878826530618</v>
      </c>
      <c r="L23" s="3"/>
      <c r="M23" s="3"/>
      <c r="N23" s="3"/>
      <c r="O23" s="3" t="e">
        <f>O21/O22</f>
        <v>#DIV/0!</v>
      </c>
      <c r="P23" s="3" t="e">
        <f>P21/P22</f>
        <v>#DIV/0!</v>
      </c>
      <c r="Q23" s="3">
        <f>Q21/Q22</f>
        <v>14.205555555555554</v>
      </c>
      <c r="R23" s="3">
        <f t="shared" ref="R23:S23" si="68">R21/R22</f>
        <v>19.898477157360407</v>
      </c>
      <c r="S23" s="3">
        <f t="shared" si="68"/>
        <v>19.240345528455283</v>
      </c>
      <c r="T23" s="3">
        <f t="shared" ref="T23" si="69">T21/T22</f>
        <v>22.955810095861349</v>
      </c>
      <c r="U23" s="3">
        <f t="shared" ref="U23" si="70">U21/U22</f>
        <v>26.528755973579106</v>
      </c>
      <c r="V23" s="3">
        <f t="shared" ref="V23" si="71">V21/V22</f>
        <v>31.21550924560357</v>
      </c>
      <c r="W23" s="3">
        <f t="shared" ref="W23" si="72">W21/W22</f>
        <v>36.584614109938755</v>
      </c>
      <c r="X23" s="3">
        <f t="shared" ref="X23:Y23" si="73">X21/X22</f>
        <v>42.729476463900362</v>
      </c>
      <c r="Y23" s="3">
        <f t="shared" si="73"/>
        <v>49.755965464751029</v>
      </c>
    </row>
    <row r="24" spans="1:115" x14ac:dyDescent="0.2">
      <c r="T24" s="4"/>
      <c r="U24" s="4"/>
      <c r="V24" s="4"/>
      <c r="W24" s="4"/>
      <c r="X24" s="4"/>
      <c r="Y24" s="4"/>
    </row>
    <row r="25" spans="1:115" s="5" customFormat="1" ht="15" x14ac:dyDescent="0.25">
      <c r="A25" s="5" t="s">
        <v>52</v>
      </c>
      <c r="F25" s="6" t="e">
        <f>F8/B8-1</f>
        <v>#DIV/0!</v>
      </c>
      <c r="G25" s="6" t="e">
        <f>G8/C8-1</f>
        <v>#DIV/0!</v>
      </c>
      <c r="H25" s="6" t="e">
        <f>H8/D8-1</f>
        <v>#DIV/0!</v>
      </c>
      <c r="I25" s="6">
        <f>I8/E8-1</f>
        <v>0.27995025563078624</v>
      </c>
      <c r="J25" s="6">
        <f>J8/F8-1</f>
        <v>0.46351606805293</v>
      </c>
      <c r="K25" s="6"/>
      <c r="L25" s="7"/>
      <c r="M25" s="6"/>
      <c r="N25" s="6"/>
      <c r="O25" s="6"/>
      <c r="P25" s="6">
        <f>P8/O8-1</f>
        <v>0.33135417411832035</v>
      </c>
      <c r="Q25" s="6">
        <f>Q8/P8-1</f>
        <v>0.1376605233464081</v>
      </c>
      <c r="R25" s="6">
        <f>R8/Q8-1</f>
        <v>0.30161054172767199</v>
      </c>
      <c r="S25" s="6">
        <f>S8/R8-1</f>
        <v>2.5545193947530853E-2</v>
      </c>
      <c r="T25" s="6">
        <f t="shared" ref="T25:X25" si="74">T8/S8-1</f>
        <v>0.11453136609701731</v>
      </c>
      <c r="U25" s="6">
        <f t="shared" si="74"/>
        <v>0.1100000000000001</v>
      </c>
      <c r="V25" s="6">
        <f t="shared" si="74"/>
        <v>0.1100000000000001</v>
      </c>
      <c r="W25" s="6">
        <f t="shared" si="74"/>
        <v>0.1100000000000001</v>
      </c>
      <c r="X25" s="6">
        <f t="shared" si="74"/>
        <v>0.1100000000000001</v>
      </c>
      <c r="Y25" s="6">
        <f t="shared" ref="Y25" si="75">Y8/X8-1</f>
        <v>0.1100000000000001</v>
      </c>
      <c r="AA25" s="1" t="s">
        <v>41</v>
      </c>
      <c r="AB25" s="4">
        <v>0.06</v>
      </c>
      <c r="AC25" s="1"/>
    </row>
    <row r="26" spans="1:115" s="5" customFormat="1" ht="15" x14ac:dyDescent="0.25">
      <c r="A26" s="5" t="s">
        <v>51</v>
      </c>
      <c r="B26" s="6" t="e">
        <f>B8/A8-1</f>
        <v>#VALUE!</v>
      </c>
      <c r="C26" s="6" t="e">
        <f t="shared" ref="C26:F26" si="76">C8/B8-1</f>
        <v>#DIV/0!</v>
      </c>
      <c r="D26" s="6" t="e">
        <f t="shared" si="76"/>
        <v>#DIV/0!</v>
      </c>
      <c r="E26" s="6" t="e">
        <f t="shared" si="76"/>
        <v>#DIV/0!</v>
      </c>
      <c r="F26" s="6">
        <f t="shared" si="76"/>
        <v>-0.26903413016443278</v>
      </c>
      <c r="G26" s="6">
        <f>G8/F8-1</f>
        <v>0.18015122873345946</v>
      </c>
      <c r="H26" s="6">
        <f>H8/G8-1</f>
        <v>0.19605958673714552</v>
      </c>
      <c r="I26" s="6">
        <f>I8/H8-1</f>
        <v>0.24052497656354621</v>
      </c>
      <c r="J26" s="6">
        <f>J8/I8-1</f>
        <v>-0.16420166252833857</v>
      </c>
      <c r="K26" s="6"/>
      <c r="L26" s="7"/>
      <c r="M26" s="6"/>
      <c r="N26" s="6"/>
      <c r="O26" s="6"/>
      <c r="R26" s="6"/>
      <c r="S26" s="6"/>
      <c r="T26" s="6"/>
      <c r="U26" s="6"/>
      <c r="V26" s="6"/>
      <c r="W26" s="6"/>
      <c r="X26" s="6"/>
      <c r="Y26" s="6"/>
      <c r="AA26" s="1" t="s">
        <v>42</v>
      </c>
      <c r="AB26" s="4">
        <v>0.01</v>
      </c>
      <c r="AC26" s="1" t="s">
        <v>48</v>
      </c>
    </row>
    <row r="27" spans="1:115" x14ac:dyDescent="0.2">
      <c r="A27" s="1" t="s">
        <v>25</v>
      </c>
      <c r="B27" s="4" t="e">
        <f>B19/B18</f>
        <v>#DIV/0!</v>
      </c>
      <c r="C27" s="4" t="e">
        <f t="shared" ref="C27:E27" si="77">C19/C18</f>
        <v>#DIV/0!</v>
      </c>
      <c r="D27" s="4" t="e">
        <f t="shared" si="77"/>
        <v>#DIV/0!</v>
      </c>
      <c r="E27" s="4">
        <f t="shared" si="77"/>
        <v>0.16102119138995497</v>
      </c>
      <c r="F27" s="4">
        <f>F19/F18</f>
        <v>0.15796897038081806</v>
      </c>
      <c r="G27" s="4">
        <f>G19/G18</f>
        <v>0.16017553483269337</v>
      </c>
      <c r="H27" s="4">
        <f>H19/H18</f>
        <v>0.18073770491803279</v>
      </c>
      <c r="I27" s="4">
        <f>I19/I18</f>
        <v>0.21465642516088851</v>
      </c>
      <c r="J27" s="4">
        <f>J19/J18</f>
        <v>0.16674555703773827</v>
      </c>
      <c r="K27" s="4">
        <v>0.17</v>
      </c>
      <c r="L27" s="4"/>
      <c r="M27" s="4"/>
      <c r="N27" s="4"/>
      <c r="O27" s="4">
        <f>O19/O18</f>
        <v>0</v>
      </c>
      <c r="P27" s="4">
        <f>P19/P18</f>
        <v>0</v>
      </c>
      <c r="Q27" s="4">
        <f>Q19/Q18</f>
        <v>0.15021525691454765</v>
      </c>
      <c r="R27" s="4">
        <f t="shared" ref="R27:S27" si="78">R19/R18</f>
        <v>0.15806274078150798</v>
      </c>
      <c r="S27" s="4">
        <f t="shared" si="78"/>
        <v>0.18586908447589562</v>
      </c>
      <c r="T27" s="4">
        <v>0.17</v>
      </c>
      <c r="U27" s="4">
        <v>0.19</v>
      </c>
      <c r="V27" s="4">
        <v>0.19</v>
      </c>
      <c r="W27" s="4">
        <v>0.19</v>
      </c>
      <c r="X27" s="4">
        <v>0.19</v>
      </c>
      <c r="Y27" s="4">
        <v>0.19</v>
      </c>
      <c r="AA27" s="1" t="s">
        <v>43</v>
      </c>
      <c r="AB27" s="4">
        <v>8.5000000000000006E-2</v>
      </c>
      <c r="AC27" s="3">
        <v>1.1399999999999999</v>
      </c>
    </row>
    <row r="28" spans="1:115" x14ac:dyDescent="0.2">
      <c r="AA28" s="1" t="s">
        <v>44</v>
      </c>
      <c r="AB28" s="1">
        <f>NPV(AB27,T33:XFD33)+Sheet1!D5-Sheet1!D6</f>
        <v>291214.56132087915</v>
      </c>
    </row>
    <row r="29" spans="1:115" x14ac:dyDescent="0.2">
      <c r="A29" s="1" t="s">
        <v>26</v>
      </c>
      <c r="B29" s="4" t="e">
        <f>B12/B8</f>
        <v>#DIV/0!</v>
      </c>
      <c r="C29" s="4" t="e">
        <f t="shared" ref="C29:E29" si="79">C12/C8</f>
        <v>#DIV/0!</v>
      </c>
      <c r="D29" s="4" t="e">
        <f t="shared" si="79"/>
        <v>#DIV/0!</v>
      </c>
      <c r="E29" s="4">
        <f t="shared" si="79"/>
        <v>0.51361061213209891</v>
      </c>
      <c r="F29" s="4">
        <f>F12/F8</f>
        <v>0.50982986767485827</v>
      </c>
      <c r="G29" s="4">
        <f>G12/G8</f>
        <v>0.51449623578407822</v>
      </c>
      <c r="H29" s="4">
        <f>H12/H8</f>
        <v>0.50796839426811302</v>
      </c>
      <c r="I29" s="4">
        <f>I12/I8</f>
        <v>0.51819065097700534</v>
      </c>
      <c r="J29" s="4">
        <v>0.54</v>
      </c>
      <c r="K29" s="4">
        <v>0.51500000000000001</v>
      </c>
      <c r="L29" s="4"/>
      <c r="M29" s="4"/>
      <c r="N29" s="4"/>
      <c r="O29" s="4">
        <f>O12/O8</f>
        <v>0.49917733743472353</v>
      </c>
      <c r="P29" s="4">
        <f>P12/P8</f>
        <v>0.52705389285906179</v>
      </c>
      <c r="Q29" s="4">
        <f>Q12/Q8</f>
        <v>0.50536060076512535</v>
      </c>
      <c r="R29" s="4">
        <f t="shared" ref="R29:S29" si="80">R12/R8</f>
        <v>0.51297216880148044</v>
      </c>
      <c r="S29" s="4">
        <f t="shared" si="80"/>
        <v>0.51275519230088806</v>
      </c>
      <c r="T29" s="4">
        <v>0.52500000000000002</v>
      </c>
      <c r="U29" s="4">
        <f>T29*1.015</f>
        <v>0.53287499999999999</v>
      </c>
      <c r="V29" s="4">
        <f t="shared" ref="V29:Y29" si="81">U29*1.015</f>
        <v>0.54086812499999992</v>
      </c>
      <c r="W29" s="4">
        <f t="shared" si="81"/>
        <v>0.54898114687499988</v>
      </c>
      <c r="X29" s="4">
        <f t="shared" si="81"/>
        <v>0.55721586407812485</v>
      </c>
      <c r="Y29" s="4">
        <f t="shared" si="81"/>
        <v>0.5655741020392967</v>
      </c>
      <c r="AA29" s="1" t="s">
        <v>47</v>
      </c>
      <c r="AB29" s="8">
        <f>AB28/Sheet1!D3</f>
        <v>741.94792693217619</v>
      </c>
    </row>
    <row r="30" spans="1:115" x14ac:dyDescent="0.2">
      <c r="Q30" s="4">
        <f>Q31/Q8</f>
        <v>0.40084069333585226</v>
      </c>
      <c r="R30" s="4">
        <f>R31/R8</f>
        <v>0.19750353786421859</v>
      </c>
      <c r="S30" s="4">
        <f>S31/S8</f>
        <v>0.3950748328202951</v>
      </c>
      <c r="T30" s="4">
        <f>S30*1.06</f>
        <v>0.4187793227895128</v>
      </c>
      <c r="U30" s="4">
        <f t="shared" ref="U30:Y30" si="82">T30*1.06</f>
        <v>0.4439060821568836</v>
      </c>
      <c r="V30" s="4">
        <f t="shared" si="82"/>
        <v>0.47054044708629661</v>
      </c>
      <c r="W30" s="4">
        <f t="shared" si="82"/>
        <v>0.49877287391147446</v>
      </c>
      <c r="X30" s="4">
        <f t="shared" si="82"/>
        <v>0.52869924634616294</v>
      </c>
      <c r="Y30" s="4">
        <f t="shared" si="82"/>
        <v>0.56042120112693272</v>
      </c>
      <c r="AA30" s="1" t="s">
        <v>46</v>
      </c>
      <c r="AB30" s="1">
        <f>AB29*AC27</f>
        <v>845.82063670268076</v>
      </c>
    </row>
    <row r="31" spans="1:115" x14ac:dyDescent="0.2">
      <c r="A31" s="1" t="s">
        <v>27</v>
      </c>
      <c r="Q31" s="1">
        <v>8487</v>
      </c>
      <c r="R31" s="1">
        <v>5443</v>
      </c>
      <c r="S31" s="1">
        <v>11166</v>
      </c>
      <c r="T31" s="1">
        <f>T8*T30</f>
        <v>13191.548667869652</v>
      </c>
      <c r="U31" s="1">
        <f t="shared" ref="U31:Y31" si="83">U8*U30</f>
        <v>15521.176162615435</v>
      </c>
      <c r="V31" s="1">
        <f t="shared" si="83"/>
        <v>18262.21587293332</v>
      </c>
      <c r="W31" s="1">
        <f t="shared" si="83"/>
        <v>21487.323196093352</v>
      </c>
      <c r="X31" s="1">
        <f t="shared" si="83"/>
        <v>25281.984472523436</v>
      </c>
      <c r="Y31" s="1">
        <f t="shared" si="83"/>
        <v>29746.782930371079</v>
      </c>
      <c r="AA31" s="1" t="s">
        <v>45</v>
      </c>
      <c r="AB31" s="4">
        <f>AB30/Sheet1!D2-1</f>
        <v>0.12776084893690776</v>
      </c>
    </row>
    <row r="32" spans="1:115" x14ac:dyDescent="0.2">
      <c r="A32" s="1" t="s">
        <v>28</v>
      </c>
      <c r="Q32" s="1">
        <v>1282</v>
      </c>
      <c r="R32" s="1">
        <v>2155</v>
      </c>
      <c r="S32" s="1">
        <v>2067</v>
      </c>
      <c r="T32" s="1">
        <f>T8*0.07</f>
        <v>2205</v>
      </c>
      <c r="U32" s="1">
        <f t="shared" ref="U32:Y32" si="84">U8*0.07</f>
        <v>2447.5500000000002</v>
      </c>
      <c r="V32" s="1">
        <f t="shared" si="84"/>
        <v>2716.7805000000003</v>
      </c>
      <c r="W32" s="1">
        <f t="shared" si="84"/>
        <v>3015.6263550000008</v>
      </c>
      <c r="X32" s="1">
        <f t="shared" si="84"/>
        <v>3347.3452540500011</v>
      </c>
      <c r="Y32" s="1">
        <f t="shared" si="84"/>
        <v>3715.5532319955014</v>
      </c>
    </row>
    <row r="33" spans="1:124" s="5" customFormat="1" ht="15" x14ac:dyDescent="0.25">
      <c r="A33" s="5" t="s">
        <v>29</v>
      </c>
      <c r="B33" s="5">
        <f>B31-B32</f>
        <v>0</v>
      </c>
      <c r="C33" s="5">
        <f t="shared" ref="C33:J33" si="85">C31-C32</f>
        <v>0</v>
      </c>
      <c r="D33" s="5">
        <f t="shared" si="85"/>
        <v>0</v>
      </c>
      <c r="E33" s="5">
        <f t="shared" si="85"/>
        <v>0</v>
      </c>
      <c r="F33" s="5">
        <f t="shared" si="85"/>
        <v>0</v>
      </c>
      <c r="G33" s="5">
        <f t="shared" si="85"/>
        <v>0</v>
      </c>
      <c r="H33" s="5">
        <f t="shared" si="85"/>
        <v>0</v>
      </c>
      <c r="I33" s="5">
        <f t="shared" si="85"/>
        <v>0</v>
      </c>
      <c r="J33" s="5">
        <f t="shared" si="85"/>
        <v>0</v>
      </c>
      <c r="N33" s="5">
        <v>2400</v>
      </c>
      <c r="O33" s="5">
        <v>3600</v>
      </c>
      <c r="Q33" s="5">
        <f>Q31-Q32</f>
        <v>7205</v>
      </c>
      <c r="R33" s="5">
        <f t="shared" ref="R33:Y33" si="86">R31-R32</f>
        <v>3288</v>
      </c>
      <c r="S33" s="5">
        <f t="shared" si="86"/>
        <v>9099</v>
      </c>
      <c r="T33" s="5">
        <f t="shared" si="86"/>
        <v>10986.548667869652</v>
      </c>
      <c r="U33" s="5">
        <f t="shared" si="86"/>
        <v>13073.626162615434</v>
      </c>
      <c r="V33" s="5">
        <f t="shared" si="86"/>
        <v>15545.43537293332</v>
      </c>
      <c r="W33" s="5">
        <f t="shared" si="86"/>
        <v>18471.696841093351</v>
      </c>
      <c r="X33" s="5">
        <f t="shared" si="86"/>
        <v>21934.639218473436</v>
      </c>
      <c r="Y33" s="5">
        <f t="shared" si="86"/>
        <v>26031.229698375577</v>
      </c>
      <c r="Z33" s="5">
        <f t="shared" ref="Z33:BE33" si="87">Y33*(1+$AB$26)</f>
        <v>26291.541995359334</v>
      </c>
      <c r="AA33" s="5">
        <f t="shared" si="87"/>
        <v>26554.457415312929</v>
      </c>
      <c r="AB33" s="5">
        <f t="shared" si="87"/>
        <v>26820.001989466058</v>
      </c>
      <c r="AC33" s="5">
        <f t="shared" si="87"/>
        <v>27088.202009360721</v>
      </c>
      <c r="AD33" s="5">
        <f t="shared" si="87"/>
        <v>27359.084029454327</v>
      </c>
      <c r="AE33" s="5">
        <f t="shared" si="87"/>
        <v>27632.674869748869</v>
      </c>
      <c r="AF33" s="5">
        <f t="shared" si="87"/>
        <v>27909.001618446357</v>
      </c>
      <c r="AG33" s="5">
        <f t="shared" si="87"/>
        <v>28188.091634630819</v>
      </c>
      <c r="AH33" s="5">
        <f t="shared" si="87"/>
        <v>28469.972550977127</v>
      </c>
      <c r="AI33" s="5">
        <f t="shared" si="87"/>
        <v>28754.672276486897</v>
      </c>
      <c r="AJ33" s="5">
        <f t="shared" si="87"/>
        <v>29042.218999251767</v>
      </c>
      <c r="AK33" s="5">
        <f t="shared" si="87"/>
        <v>29332.641189244285</v>
      </c>
      <c r="AL33" s="5">
        <f t="shared" si="87"/>
        <v>29625.967601136726</v>
      </c>
      <c r="AM33" s="5">
        <f t="shared" si="87"/>
        <v>29922.227277148093</v>
      </c>
      <c r="AN33" s="5">
        <f t="shared" si="87"/>
        <v>30221.449549919573</v>
      </c>
      <c r="AO33" s="5">
        <f t="shared" si="87"/>
        <v>30523.664045418769</v>
      </c>
      <c r="AP33" s="5">
        <f t="shared" si="87"/>
        <v>30828.900685872955</v>
      </c>
      <c r="AQ33" s="5">
        <f t="shared" si="87"/>
        <v>31137.189692731685</v>
      </c>
      <c r="AR33" s="5">
        <f t="shared" si="87"/>
        <v>31448.561589659002</v>
      </c>
      <c r="AS33" s="5">
        <f t="shared" si="87"/>
        <v>31763.047205555591</v>
      </c>
      <c r="AT33" s="5">
        <f t="shared" si="87"/>
        <v>32080.677677611147</v>
      </c>
      <c r="AU33" s="5">
        <f t="shared" si="87"/>
        <v>32401.48445438726</v>
      </c>
      <c r="AV33" s="5">
        <f t="shared" si="87"/>
        <v>32725.499298931132</v>
      </c>
      <c r="AW33" s="5">
        <f t="shared" si="87"/>
        <v>33052.754291920442</v>
      </c>
      <c r="AX33" s="5">
        <f t="shared" si="87"/>
        <v>33383.281834839647</v>
      </c>
      <c r="AY33" s="5">
        <f t="shared" si="87"/>
        <v>33717.114653188044</v>
      </c>
      <c r="AZ33" s="5">
        <f t="shared" si="87"/>
        <v>34054.285799719924</v>
      </c>
      <c r="BA33" s="5">
        <f t="shared" si="87"/>
        <v>34394.828657717124</v>
      </c>
      <c r="BB33" s="5">
        <f t="shared" si="87"/>
        <v>34738.776944294295</v>
      </c>
      <c r="BC33" s="5">
        <f t="shared" si="87"/>
        <v>35086.164713737242</v>
      </c>
      <c r="BD33" s="5">
        <f t="shared" si="87"/>
        <v>35437.026360874617</v>
      </c>
      <c r="BE33" s="5">
        <f t="shared" si="87"/>
        <v>35791.396624483365</v>
      </c>
      <c r="BF33" s="5">
        <f t="shared" ref="BF33:CK33" si="88">BE33*(1+$AB$26)</f>
        <v>36149.310590728201</v>
      </c>
      <c r="BG33" s="5">
        <f t="shared" si="88"/>
        <v>36510.803696635485</v>
      </c>
      <c r="BH33" s="5">
        <f t="shared" si="88"/>
        <v>36875.911733601839</v>
      </c>
      <c r="BI33" s="5">
        <f t="shared" si="88"/>
        <v>37244.670850937859</v>
      </c>
      <c r="BJ33" s="5">
        <f t="shared" si="88"/>
        <v>37617.117559447237</v>
      </c>
      <c r="BK33" s="5">
        <f t="shared" si="88"/>
        <v>37993.288735041708</v>
      </c>
      <c r="BL33" s="5">
        <f t="shared" si="88"/>
        <v>38373.221622392128</v>
      </c>
      <c r="BM33" s="5">
        <f t="shared" si="88"/>
        <v>38756.953838616049</v>
      </c>
      <c r="BN33" s="5">
        <f t="shared" si="88"/>
        <v>39144.52337700221</v>
      </c>
      <c r="BO33" s="5">
        <f t="shared" si="88"/>
        <v>39535.96861077223</v>
      </c>
      <c r="BP33" s="5">
        <f t="shared" si="88"/>
        <v>39931.328296879954</v>
      </c>
      <c r="BQ33" s="5">
        <f t="shared" si="88"/>
        <v>40330.641579848751</v>
      </c>
      <c r="BR33" s="5">
        <f t="shared" si="88"/>
        <v>40733.947995647235</v>
      </c>
      <c r="BS33" s="5">
        <f t="shared" si="88"/>
        <v>41141.287475603705</v>
      </c>
      <c r="BT33" s="5">
        <f t="shared" si="88"/>
        <v>41552.700350359744</v>
      </c>
      <c r="BU33" s="5">
        <f t="shared" si="88"/>
        <v>41968.227353863345</v>
      </c>
      <c r="BV33" s="5">
        <f t="shared" si="88"/>
        <v>42387.909627401976</v>
      </c>
      <c r="BW33" s="5">
        <f t="shared" si="88"/>
        <v>42811.788723675993</v>
      </c>
      <c r="BX33" s="5">
        <f t="shared" si="88"/>
        <v>43239.906610912753</v>
      </c>
      <c r="BY33" s="5">
        <f t="shared" si="88"/>
        <v>43672.305677021883</v>
      </c>
      <c r="BZ33" s="5">
        <f t="shared" si="88"/>
        <v>44109.028733792104</v>
      </c>
      <c r="CA33" s="5">
        <f t="shared" si="88"/>
        <v>44550.119021130027</v>
      </c>
      <c r="CB33" s="5">
        <f t="shared" si="88"/>
        <v>44995.620211341331</v>
      </c>
      <c r="CC33" s="5">
        <f t="shared" si="88"/>
        <v>45445.576413454743</v>
      </c>
      <c r="CD33" s="5">
        <f t="shared" si="88"/>
        <v>45900.032177589288</v>
      </c>
      <c r="CE33" s="5">
        <f t="shared" si="88"/>
        <v>46359.032499365181</v>
      </c>
      <c r="CF33" s="5">
        <f t="shared" si="88"/>
        <v>46822.622824358834</v>
      </c>
      <c r="CG33" s="5">
        <f t="shared" si="88"/>
        <v>47290.849052602425</v>
      </c>
      <c r="CH33" s="5">
        <f t="shared" si="88"/>
        <v>47763.757543128449</v>
      </c>
      <c r="CI33" s="5">
        <f t="shared" si="88"/>
        <v>48241.395118559733</v>
      </c>
      <c r="CJ33" s="5">
        <f t="shared" si="88"/>
        <v>48723.80906974533</v>
      </c>
      <c r="CK33" s="5">
        <f t="shared" si="88"/>
        <v>49211.04716044278</v>
      </c>
      <c r="CL33" s="5">
        <f t="shared" ref="CL33:DT33" si="89">CK33*(1+$AB$26)</f>
        <v>49703.157632047209</v>
      </c>
      <c r="CM33" s="5">
        <f t="shared" si="89"/>
        <v>50200.189208367679</v>
      </c>
      <c r="CN33" s="5">
        <f t="shared" si="89"/>
        <v>50702.191100451353</v>
      </c>
      <c r="CO33" s="5">
        <f t="shared" si="89"/>
        <v>51209.213011455868</v>
      </c>
      <c r="CP33" s="5">
        <f t="shared" si="89"/>
        <v>51721.305141570425</v>
      </c>
      <c r="CQ33" s="5">
        <f t="shared" si="89"/>
        <v>52238.518192986128</v>
      </c>
      <c r="CR33" s="5">
        <f t="shared" si="89"/>
        <v>52760.903374915993</v>
      </c>
      <c r="CS33" s="5">
        <f t="shared" si="89"/>
        <v>53288.512408665156</v>
      </c>
      <c r="CT33" s="5">
        <f t="shared" si="89"/>
        <v>53821.397532751806</v>
      </c>
      <c r="CU33" s="5">
        <f t="shared" si="89"/>
        <v>54359.611508079324</v>
      </c>
      <c r="CV33" s="5">
        <f t="shared" si="89"/>
        <v>54903.207623160117</v>
      </c>
      <c r="CW33" s="5">
        <f t="shared" si="89"/>
        <v>55452.239699391721</v>
      </c>
      <c r="CX33" s="5">
        <f t="shared" si="89"/>
        <v>56006.762096385639</v>
      </c>
      <c r="CY33" s="5">
        <f t="shared" si="89"/>
        <v>56566.829717349494</v>
      </c>
      <c r="CZ33" s="5">
        <f t="shared" si="89"/>
        <v>57132.498014522993</v>
      </c>
      <c r="DA33" s="5">
        <f t="shared" si="89"/>
        <v>57703.822994668226</v>
      </c>
      <c r="DB33" s="5">
        <f t="shared" si="89"/>
        <v>58280.861224614906</v>
      </c>
      <c r="DC33" s="5">
        <f t="shared" si="89"/>
        <v>58863.669836861052</v>
      </c>
      <c r="DD33" s="5">
        <f t="shared" si="89"/>
        <v>59452.306535229662</v>
      </c>
      <c r="DE33" s="5">
        <f t="shared" si="89"/>
        <v>60046.829600581957</v>
      </c>
      <c r="DF33" s="5">
        <f t="shared" si="89"/>
        <v>60647.297896587777</v>
      </c>
      <c r="DG33" s="5">
        <f t="shared" si="89"/>
        <v>61253.770875553659</v>
      </c>
      <c r="DH33" s="5">
        <f t="shared" si="89"/>
        <v>61866.308584309198</v>
      </c>
      <c r="DI33" s="5">
        <f t="shared" si="89"/>
        <v>62484.971670152292</v>
      </c>
      <c r="DJ33" s="5">
        <f t="shared" si="89"/>
        <v>63109.821386853815</v>
      </c>
      <c r="DK33" s="5">
        <f t="shared" si="89"/>
        <v>63740.919600722351</v>
      </c>
      <c r="DL33" s="5">
        <f t="shared" si="89"/>
        <v>64378.328796729576</v>
      </c>
      <c r="DM33" s="5">
        <f t="shared" si="89"/>
        <v>65022.11208469687</v>
      </c>
      <c r="DN33" s="5">
        <f t="shared" si="89"/>
        <v>65672.333205543837</v>
      </c>
      <c r="DO33" s="5">
        <f t="shared" si="89"/>
        <v>66329.056537599274</v>
      </c>
      <c r="DP33" s="5">
        <f t="shared" si="89"/>
        <v>66992.347102975269</v>
      </c>
      <c r="DQ33" s="5">
        <f t="shared" si="89"/>
        <v>67662.27057400503</v>
      </c>
      <c r="DR33" s="5">
        <f t="shared" si="89"/>
        <v>68338.893279745083</v>
      </c>
      <c r="DS33" s="5">
        <f t="shared" si="89"/>
        <v>69022.28221254253</v>
      </c>
      <c r="DT33" s="5">
        <f t="shared" si="89"/>
        <v>69712.505034667949</v>
      </c>
    </row>
    <row r="34" spans="1:124" x14ac:dyDescent="0.2">
      <c r="Q34" s="4">
        <f>Q33/Q21</f>
        <v>1.280797809933516</v>
      </c>
      <c r="R34" s="4">
        <f>R33/R21</f>
        <v>0.41938775510204079</v>
      </c>
      <c r="S34" s="4">
        <f>S33/S21</f>
        <v>1.2015053479466526</v>
      </c>
      <c r="T34" s="4">
        <f>T33/T21</f>
        <v>1.2159439907604086</v>
      </c>
      <c r="U34" s="4">
        <f t="shared" ref="U34:Y34" si="90">U33/U21</f>
        <v>1.2520569625508089</v>
      </c>
      <c r="V34" s="4">
        <f t="shared" si="90"/>
        <v>1.2652529993592305</v>
      </c>
      <c r="W34" s="4">
        <f t="shared" si="90"/>
        <v>1.2827830832687233</v>
      </c>
      <c r="X34" s="4">
        <f t="shared" si="90"/>
        <v>1.3042109255426071</v>
      </c>
      <c r="Y34" s="4">
        <f t="shared" si="90"/>
        <v>1.3292125616943755</v>
      </c>
    </row>
    <row r="35" spans="1:124" x14ac:dyDescent="0.2">
      <c r="A35" s="1" t="s">
        <v>30</v>
      </c>
      <c r="B35" s="1">
        <f t="shared" ref="B35:H35" si="91">B59-B78</f>
        <v>0</v>
      </c>
      <c r="C35" s="1">
        <f t="shared" si="91"/>
        <v>0</v>
      </c>
      <c r="D35" s="1">
        <f t="shared" si="91"/>
        <v>0</v>
      </c>
      <c r="E35" s="1">
        <f t="shared" si="91"/>
        <v>2378</v>
      </c>
      <c r="F35" s="1">
        <f t="shared" si="91"/>
        <v>0</v>
      </c>
      <c r="G35" s="1">
        <f t="shared" si="91"/>
        <v>0</v>
      </c>
      <c r="H35" s="1">
        <f t="shared" si="91"/>
        <v>0</v>
      </c>
      <c r="I35" s="1">
        <f>I59-I82</f>
        <v>2680</v>
      </c>
      <c r="J35" s="1">
        <f>J59-J82</f>
        <v>-751</v>
      </c>
      <c r="Q35" s="1">
        <f>Q59-Q78</f>
        <v>0</v>
      </c>
      <c r="R35" s="1">
        <f>R59-R82</f>
        <v>-3221</v>
      </c>
      <c r="S35" s="1">
        <f>S59-S82</f>
        <v>2680</v>
      </c>
      <c r="T35" s="1">
        <f t="shared" ref="T35:Y35" si="92">S35+T21</f>
        <v>11715.406853731027</v>
      </c>
      <c r="U35" s="1">
        <f t="shared" si="92"/>
        <v>22157.125204931763</v>
      </c>
      <c r="V35" s="1">
        <f t="shared" si="92"/>
        <v>34443.54964400133</v>
      </c>
      <c r="W35" s="1">
        <f t="shared" si="92"/>
        <v>48843.253757673228</v>
      </c>
      <c r="X35" s="1">
        <f t="shared" si="92"/>
        <v>65661.575693864404</v>
      </c>
      <c r="Y35" s="1">
        <f t="shared" si="92"/>
        <v>85245.523700790407</v>
      </c>
      <c r="Z35" s="4"/>
    </row>
    <row r="36" spans="1:124" x14ac:dyDescent="0.2">
      <c r="Q36" s="4"/>
      <c r="R36" s="4"/>
      <c r="S36" s="4"/>
    </row>
    <row r="37" spans="1:124" x14ac:dyDescent="0.2">
      <c r="A37" s="1" t="s">
        <v>33</v>
      </c>
      <c r="B37" s="1">
        <f t="shared" ref="B37" si="93">B21</f>
        <v>0</v>
      </c>
      <c r="C37" s="1">
        <f t="shared" ref="C37:J37" si="94">C21</f>
        <v>0</v>
      </c>
      <c r="D37" s="1">
        <f t="shared" si="94"/>
        <v>0</v>
      </c>
      <c r="E37" s="1">
        <f t="shared" si="94"/>
        <v>2047.7999999999997</v>
      </c>
      <c r="F37" s="1">
        <f t="shared" si="94"/>
        <v>1224.2</v>
      </c>
      <c r="G37" s="1">
        <f t="shared" si="94"/>
        <v>1578</v>
      </c>
      <c r="H37" s="1">
        <f t="shared" si="94"/>
        <v>2076</v>
      </c>
      <c r="I37" s="1">
        <f t="shared" si="94"/>
        <v>2703.6000000000004</v>
      </c>
      <c r="J37" s="1">
        <f t="shared" si="94"/>
        <v>2370.0668077296773</v>
      </c>
      <c r="Q37" s="1">
        <f>Q21</f>
        <v>5625.4</v>
      </c>
      <c r="R37" s="1">
        <f t="shared" ref="R37:S37" si="95">R21</f>
        <v>7840</v>
      </c>
      <c r="S37" s="1">
        <f t="shared" si="95"/>
        <v>7573</v>
      </c>
    </row>
    <row r="38" spans="1:124" x14ac:dyDescent="0.2">
      <c r="A38" s="1" t="s">
        <v>34</v>
      </c>
      <c r="E38" s="1">
        <v>2048</v>
      </c>
      <c r="I38" s="1">
        <v>2693</v>
      </c>
      <c r="R38" s="1">
        <v>7839</v>
      </c>
      <c r="S38" s="1">
        <v>7572</v>
      </c>
    </row>
    <row r="39" spans="1:124" x14ac:dyDescent="0.2">
      <c r="A39" s="1" t="s">
        <v>74</v>
      </c>
      <c r="E39" s="1">
        <v>212</v>
      </c>
      <c r="I39" s="1">
        <v>241</v>
      </c>
    </row>
    <row r="40" spans="1:124" x14ac:dyDescent="0.2">
      <c r="A40" s="1" t="s">
        <v>79</v>
      </c>
      <c r="E40" s="1">
        <v>10</v>
      </c>
      <c r="I40" s="1">
        <v>11</v>
      </c>
    </row>
    <row r="41" spans="1:124" x14ac:dyDescent="0.2">
      <c r="A41" s="1" t="s">
        <v>75</v>
      </c>
      <c r="E41" s="1">
        <v>42</v>
      </c>
      <c r="I41" s="1">
        <v>53</v>
      </c>
    </row>
    <row r="42" spans="1:124" x14ac:dyDescent="0.2">
      <c r="A42" s="1" t="s">
        <v>76</v>
      </c>
      <c r="E42" s="1">
        <v>211</v>
      </c>
      <c r="I42" s="1">
        <v>168</v>
      </c>
    </row>
    <row r="43" spans="1:124" x14ac:dyDescent="0.2">
      <c r="A43" s="1" t="s">
        <v>78</v>
      </c>
      <c r="E43" s="1">
        <v>-49</v>
      </c>
      <c r="I43" s="1">
        <v>-28</v>
      </c>
    </row>
    <row r="44" spans="1:124" x14ac:dyDescent="0.2">
      <c r="A44" s="1" t="s">
        <v>23</v>
      </c>
      <c r="E44" s="1">
        <v>175</v>
      </c>
      <c r="I44" s="1">
        <v>170</v>
      </c>
    </row>
    <row r="45" spans="1:124" x14ac:dyDescent="0.2">
      <c r="A45" s="1" t="s">
        <v>77</v>
      </c>
      <c r="E45" s="1">
        <v>548</v>
      </c>
      <c r="I45" s="1">
        <v>6237</v>
      </c>
    </row>
    <row r="46" spans="1:124" s="5" customFormat="1" ht="15" x14ac:dyDescent="0.25">
      <c r="A46" s="5" t="s">
        <v>27</v>
      </c>
      <c r="E46" s="5">
        <f>E38+SUM(E39:E45)</f>
        <v>3197</v>
      </c>
      <c r="I46" s="5">
        <f>I38+SUM(I39:I45)</f>
        <v>9545</v>
      </c>
    </row>
    <row r="47" spans="1:124" ht="15" x14ac:dyDescent="0.25">
      <c r="A47" s="1" t="s">
        <v>68</v>
      </c>
      <c r="B47" s="5"/>
      <c r="C47" s="5"/>
      <c r="D47" s="5"/>
      <c r="E47" s="5"/>
      <c r="F47" s="5"/>
      <c r="G47" s="5"/>
      <c r="H47" s="5"/>
      <c r="I47" s="5"/>
    </row>
    <row r="48" spans="1:124" x14ac:dyDescent="0.2">
      <c r="A48" s="1" t="s">
        <v>80</v>
      </c>
      <c r="E48" s="4"/>
      <c r="I48" s="4"/>
    </row>
    <row r="49" spans="1:28" x14ac:dyDescent="0.2">
      <c r="A49" s="1" t="s">
        <v>81</v>
      </c>
      <c r="E49" s="4"/>
      <c r="I49" s="4"/>
    </row>
    <row r="50" spans="1:28" x14ac:dyDescent="0.2">
      <c r="A50" s="1" t="s">
        <v>82</v>
      </c>
      <c r="E50" s="4"/>
      <c r="I50" s="4"/>
    </row>
    <row r="51" spans="1:28" s="5" customFormat="1" ht="15" x14ac:dyDescent="0.25">
      <c r="A51" s="5" t="s">
        <v>83</v>
      </c>
      <c r="E51" s="5">
        <f>SUM(E47:E50)</f>
        <v>0</v>
      </c>
      <c r="I51" s="6"/>
    </row>
    <row r="52" spans="1:28" s="5" customFormat="1" ht="15" x14ac:dyDescent="0.25">
      <c r="A52" s="1" t="s">
        <v>84</v>
      </c>
      <c r="E52" s="6"/>
      <c r="I52" s="6"/>
    </row>
    <row r="53" spans="1:28" x14ac:dyDescent="0.2">
      <c r="A53" s="1" t="s">
        <v>85</v>
      </c>
      <c r="E53" s="4"/>
      <c r="I53" s="4"/>
    </row>
    <row r="54" spans="1:28" x14ac:dyDescent="0.2">
      <c r="A54" s="1" t="s">
        <v>86</v>
      </c>
      <c r="E54" s="4"/>
      <c r="I54" s="4"/>
    </row>
    <row r="55" spans="1:28" x14ac:dyDescent="0.2">
      <c r="A55" s="1" t="s">
        <v>87</v>
      </c>
      <c r="E55" s="4"/>
      <c r="I55" s="4"/>
    </row>
    <row r="56" spans="1:28" x14ac:dyDescent="0.2">
      <c r="A56" s="1" t="s">
        <v>88</v>
      </c>
      <c r="E56" s="4"/>
      <c r="I56" s="4"/>
    </row>
    <row r="57" spans="1:28" x14ac:dyDescent="0.2">
      <c r="A57" s="1" t="s">
        <v>89</v>
      </c>
      <c r="E57" s="4">
        <f>SUM(E52:E56)</f>
        <v>0</v>
      </c>
      <c r="I57" s="4"/>
    </row>
    <row r="58" spans="1:28" x14ac:dyDescent="0.2">
      <c r="E58" s="4"/>
      <c r="I58" s="4"/>
    </row>
    <row r="59" spans="1:28" x14ac:dyDescent="0.2">
      <c r="A59" s="1" t="s">
        <v>3</v>
      </c>
      <c r="E59" s="1">
        <f>7005+5</f>
        <v>7010</v>
      </c>
      <c r="I59" s="1">
        <f>12736+5</f>
        <v>12741</v>
      </c>
      <c r="J59" s="1">
        <f>9098+5</f>
        <v>9103</v>
      </c>
      <c r="R59" s="1">
        <f>7004+5</f>
        <v>7009</v>
      </c>
      <c r="S59" s="1">
        <f>12736+5</f>
        <v>12741</v>
      </c>
    </row>
    <row r="60" spans="1:28" x14ac:dyDescent="0.2">
      <c r="A60" s="1" t="s">
        <v>31</v>
      </c>
      <c r="E60" s="1">
        <f>4334+1379</f>
        <v>5713</v>
      </c>
      <c r="I60" s="1">
        <f>4477+82</f>
        <v>4559</v>
      </c>
      <c r="J60" s="1">
        <f>4597+382</f>
        <v>4979</v>
      </c>
      <c r="R60" s="1">
        <v>4334</v>
      </c>
      <c r="S60" s="1">
        <v>4477</v>
      </c>
    </row>
    <row r="61" spans="1:28" x14ac:dyDescent="0.2">
      <c r="A61" s="1" t="s">
        <v>59</v>
      </c>
      <c r="E61" s="1">
        <v>1001</v>
      </c>
      <c r="I61" s="1">
        <v>284</v>
      </c>
      <c r="AB61" s="4"/>
    </row>
    <row r="62" spans="1:28" x14ac:dyDescent="0.2">
      <c r="A62" s="1" t="s">
        <v>60</v>
      </c>
      <c r="E62" s="1">
        <v>240</v>
      </c>
      <c r="I62" s="1">
        <v>321</v>
      </c>
      <c r="AB62" s="4"/>
    </row>
    <row r="63" spans="1:28" x14ac:dyDescent="0.2">
      <c r="A63" s="1" t="s">
        <v>36</v>
      </c>
      <c r="E63" s="1">
        <v>8851</v>
      </c>
      <c r="I63" s="1">
        <v>10892</v>
      </c>
      <c r="J63" s="1">
        <v>11025</v>
      </c>
      <c r="R63" s="1">
        <v>8851</v>
      </c>
      <c r="S63" s="1">
        <v>10891</v>
      </c>
    </row>
    <row r="64" spans="1:28" x14ac:dyDescent="0.2">
      <c r="A64" s="1" t="s">
        <v>61</v>
      </c>
      <c r="E64" s="1">
        <v>1579</v>
      </c>
      <c r="I64" s="1">
        <v>1940</v>
      </c>
    </row>
    <row r="66" spans="1:19" x14ac:dyDescent="0.2">
      <c r="A66" s="1" t="s">
        <v>63</v>
      </c>
      <c r="E66" s="1">
        <v>61</v>
      </c>
      <c r="I66" s="1">
        <v>317</v>
      </c>
    </row>
    <row r="67" spans="1:19" x14ac:dyDescent="0.2">
      <c r="A67" s="1" t="s">
        <v>64</v>
      </c>
      <c r="E67" s="1">
        <v>1872</v>
      </c>
      <c r="I67" s="1">
        <v>1941</v>
      </c>
    </row>
    <row r="68" spans="1:19" x14ac:dyDescent="0.2">
      <c r="A68" s="1" t="s">
        <v>65</v>
      </c>
      <c r="E68" s="1">
        <v>929</v>
      </c>
      <c r="I68" s="1">
        <v>1457</v>
      </c>
    </row>
    <row r="69" spans="1:19" x14ac:dyDescent="0.2">
      <c r="A69" s="1" t="s">
        <v>61</v>
      </c>
      <c r="E69" s="1">
        <v>652</v>
      </c>
      <c r="I69" s="1">
        <v>791</v>
      </c>
    </row>
    <row r="70" spans="1:19" x14ac:dyDescent="0.2">
      <c r="A70" s="1" t="s">
        <v>23</v>
      </c>
      <c r="E70" s="1">
        <v>919</v>
      </c>
      <c r="I70" s="1">
        <v>903</v>
      </c>
    </row>
    <row r="71" spans="1:19" x14ac:dyDescent="0.2">
      <c r="A71" s="1" t="s">
        <v>66</v>
      </c>
      <c r="E71" s="1">
        <v>4588</v>
      </c>
      <c r="I71" s="1">
        <v>4589</v>
      </c>
    </row>
    <row r="72" spans="1:19" x14ac:dyDescent="0.2">
      <c r="A72" s="1" t="s">
        <v>67</v>
      </c>
      <c r="E72" s="1">
        <v>742</v>
      </c>
      <c r="I72" s="1">
        <v>621</v>
      </c>
    </row>
    <row r="73" spans="1:19" x14ac:dyDescent="0.2">
      <c r="A73" s="1" t="s">
        <v>68</v>
      </c>
      <c r="E73" s="1">
        <v>5493</v>
      </c>
      <c r="I73" s="1">
        <v>6847</v>
      </c>
    </row>
    <row r="74" spans="1:19" x14ac:dyDescent="0.2">
      <c r="A74" s="1" t="s">
        <v>69</v>
      </c>
      <c r="E74" s="1">
        <v>307</v>
      </c>
      <c r="I74" s="1">
        <v>387</v>
      </c>
    </row>
    <row r="75" spans="1:19" x14ac:dyDescent="0.2">
      <c r="A75" s="1" t="s">
        <v>62</v>
      </c>
      <c r="B75" s="1">
        <f>SUM(B59:B74)</f>
        <v>0</v>
      </c>
      <c r="C75" s="1">
        <f t="shared" ref="C75:J75" si="96">SUM(C59:C74)</f>
        <v>0</v>
      </c>
      <c r="D75" s="1">
        <f t="shared" si="96"/>
        <v>0</v>
      </c>
      <c r="E75" s="1">
        <f>SUM(E59:E74)</f>
        <v>39957</v>
      </c>
      <c r="F75" s="1">
        <f t="shared" si="96"/>
        <v>0</v>
      </c>
      <c r="G75" s="1">
        <f t="shared" si="96"/>
        <v>0</v>
      </c>
      <c r="H75" s="1">
        <f t="shared" si="96"/>
        <v>0</v>
      </c>
      <c r="I75" s="1">
        <f t="shared" si="96"/>
        <v>48590</v>
      </c>
      <c r="J75" s="1">
        <f t="shared" si="96"/>
        <v>25107</v>
      </c>
    </row>
    <row r="77" spans="1:19" x14ac:dyDescent="0.2">
      <c r="A77" s="1" t="s">
        <v>32</v>
      </c>
      <c r="R77" s="1">
        <v>2347</v>
      </c>
      <c r="S77" s="1">
        <v>3500</v>
      </c>
    </row>
    <row r="78" spans="1:19" x14ac:dyDescent="0.2">
      <c r="A78" s="1" t="s">
        <v>4</v>
      </c>
      <c r="E78" s="1">
        <v>4632</v>
      </c>
      <c r="I78" s="1">
        <v>3677</v>
      </c>
      <c r="J78" s="1">
        <v>3681</v>
      </c>
    </row>
    <row r="79" spans="1:19" x14ac:dyDescent="0.2">
      <c r="A79" s="1" t="s">
        <v>70</v>
      </c>
      <c r="E79" s="1">
        <v>372</v>
      </c>
      <c r="I79" s="1">
        <v>299</v>
      </c>
      <c r="J79" s="1">
        <v>336</v>
      </c>
    </row>
    <row r="80" spans="1:19" x14ac:dyDescent="0.2">
      <c r="A80" s="1" t="s">
        <v>71</v>
      </c>
      <c r="E80" s="1">
        <v>4826</v>
      </c>
      <c r="I80" s="1">
        <v>5625</v>
      </c>
      <c r="J80" s="1">
        <v>5400</v>
      </c>
    </row>
    <row r="81" spans="1:19" x14ac:dyDescent="0.2">
      <c r="A81" s="1" t="s">
        <v>72</v>
      </c>
      <c r="E81" s="1">
        <v>401</v>
      </c>
      <c r="I81" s="1">
        <v>460</v>
      </c>
      <c r="J81" s="1">
        <v>437</v>
      </c>
    </row>
    <row r="82" spans="1:19" x14ac:dyDescent="0.2">
      <c r="A82" s="1" t="s">
        <v>73</v>
      </c>
      <c r="B82" s="1">
        <f>SUM(B77:B81)</f>
        <v>0</v>
      </c>
      <c r="C82" s="1">
        <f t="shared" ref="C82:J82" si="97">SUM(C77:C81)</f>
        <v>0</v>
      </c>
      <c r="D82" s="1">
        <f t="shared" si="97"/>
        <v>0</v>
      </c>
      <c r="E82" s="1">
        <f>SUM(E77:E81)</f>
        <v>10231</v>
      </c>
      <c r="F82" s="1">
        <f t="shared" si="97"/>
        <v>0</v>
      </c>
      <c r="G82" s="1">
        <f t="shared" si="97"/>
        <v>0</v>
      </c>
      <c r="H82" s="1">
        <f t="shared" si="97"/>
        <v>0</v>
      </c>
      <c r="I82" s="1">
        <f t="shared" si="97"/>
        <v>10061</v>
      </c>
      <c r="J82" s="1">
        <f t="shared" si="97"/>
        <v>9854</v>
      </c>
      <c r="R82" s="1">
        <v>10230</v>
      </c>
      <c r="S82" s="1">
        <v>10061</v>
      </c>
    </row>
    <row r="84" spans="1:19" x14ac:dyDescent="0.2">
      <c r="A84" s="1" t="s">
        <v>35</v>
      </c>
      <c r="B84" s="1" t="e">
        <f t="shared" ref="B84:J84" si="98">B60/B8*360</f>
        <v>#DIV/0!</v>
      </c>
      <c r="C84" s="1" t="e">
        <f t="shared" si="98"/>
        <v>#DIV/0!</v>
      </c>
      <c r="D84" s="1" t="e">
        <f t="shared" si="98"/>
        <v>#DIV/0!</v>
      </c>
      <c r="E84" s="1">
        <f t="shared" si="98"/>
        <v>284.18958131822581</v>
      </c>
      <c r="F84" s="1">
        <f t="shared" si="98"/>
        <v>0</v>
      </c>
      <c r="G84" s="1">
        <f t="shared" si="98"/>
        <v>0</v>
      </c>
      <c r="H84" s="1">
        <f t="shared" si="98"/>
        <v>0</v>
      </c>
      <c r="I84" s="1">
        <f t="shared" si="98"/>
        <v>177.18233833531252</v>
      </c>
      <c r="J84" s="1">
        <f t="shared" si="98"/>
        <v>231.5215706535779</v>
      </c>
      <c r="R84" s="1">
        <f>R60/R8*360</f>
        <v>56.614536086215026</v>
      </c>
      <c r="S84" s="1">
        <f>S60/S8*360</f>
        <v>57.025793440186817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2025-04-13T03:10:38Z</dcterms:created>
  <dcterms:modified xsi:type="dcterms:W3CDTF">2025-05-20T05:26:02Z</dcterms:modified>
</cp:coreProperties>
</file>