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B0FF32E3-1B4B-42FE-A072-8176B4FC661B}" xr6:coauthVersionLast="47" xr6:coauthVersionMax="47" xr10:uidLastSave="{00000000-0000-0000-0000-000000000000}"/>
  <bookViews>
    <workbookView xWindow="1395" yWindow="585" windowWidth="20010" windowHeight="14145" activeTab="1" xr2:uid="{23A73D2F-BF64-4B2C-9A6B-330C60ED7DB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2" l="1"/>
  <c r="L14" i="2"/>
  <c r="K32" i="2"/>
  <c r="K31" i="2"/>
  <c r="D7" i="1"/>
  <c r="D6" i="1"/>
  <c r="M26" i="2"/>
  <c r="N26" i="2"/>
  <c r="O26" i="2"/>
  <c r="P26" i="2"/>
  <c r="L26" i="2"/>
  <c r="M28" i="2"/>
  <c r="N28" i="2" s="1"/>
  <c r="O28" i="2" s="1"/>
  <c r="P28" i="2" s="1"/>
  <c r="L28" i="2"/>
  <c r="P5" i="2"/>
  <c r="M15" i="2"/>
  <c r="N15" i="2" s="1"/>
  <c r="O15" i="2" s="1"/>
  <c r="P15" i="2" s="1"/>
  <c r="L15" i="2"/>
  <c r="K22" i="2"/>
  <c r="K21" i="2"/>
  <c r="M20" i="2"/>
  <c r="N20" i="2"/>
  <c r="O20" i="2"/>
  <c r="P20" i="2" s="1"/>
  <c r="L20" i="2"/>
  <c r="M22" i="2"/>
  <c r="N22" i="2"/>
  <c r="O22" i="2"/>
  <c r="P22" i="2"/>
  <c r="L22" i="2"/>
  <c r="K24" i="2"/>
  <c r="L12" i="2"/>
  <c r="L5" i="2"/>
  <c r="L6" i="2" s="1"/>
  <c r="M4" i="2"/>
  <c r="N4" i="2"/>
  <c r="O4" i="2" s="1"/>
  <c r="L4" i="2"/>
  <c r="M12" i="2"/>
  <c r="K28" i="2"/>
  <c r="K27" i="2"/>
  <c r="K26" i="2"/>
  <c r="D4" i="1"/>
  <c r="K19" i="2"/>
  <c r="K16" i="2"/>
  <c r="K14" i="2"/>
  <c r="K6" i="2"/>
  <c r="K12" i="2"/>
  <c r="K13" i="2" s="1"/>
  <c r="K18" i="2" s="1"/>
  <c r="D5" i="1"/>
  <c r="D8" i="1" s="1"/>
  <c r="J1" i="2"/>
  <c r="K1" i="2" s="1"/>
  <c r="L1" i="2" s="1"/>
  <c r="M1" i="2" s="1"/>
  <c r="N1" i="2" s="1"/>
  <c r="O1" i="2" s="1"/>
  <c r="P1" i="2" s="1"/>
  <c r="O5" i="2" l="1"/>
  <c r="M5" i="2"/>
  <c r="M6" i="2" s="1"/>
  <c r="M13" i="2" s="1"/>
  <c r="N5" i="2"/>
  <c r="N6" i="2" s="1"/>
  <c r="L13" i="2"/>
  <c r="L16" i="2" s="1"/>
  <c r="P4" i="2"/>
  <c r="P6" i="2" s="1"/>
  <c r="O6" i="2"/>
  <c r="M27" i="2"/>
  <c r="L27" i="2"/>
  <c r="N12" i="2" l="1"/>
  <c r="N13" i="2" s="1"/>
  <c r="N27" i="2" s="1"/>
  <c r="L17" i="2"/>
  <c r="L18" i="2" s="1"/>
  <c r="P12" i="2" l="1"/>
  <c r="P13" i="2" s="1"/>
  <c r="P27" i="2" s="1"/>
  <c r="O12" i="2"/>
  <c r="O13" i="2" s="1"/>
  <c r="O27" i="2" s="1"/>
  <c r="L30" i="2"/>
  <c r="L19" i="2"/>
  <c r="M14" i="2"/>
  <c r="M16" i="2" s="1"/>
  <c r="M17" i="2" l="1"/>
  <c r="M18" i="2" s="1"/>
  <c r="M30" i="2" l="1"/>
  <c r="N14" i="2" s="1"/>
  <c r="N16" i="2" s="1"/>
  <c r="N17" i="2" s="1"/>
  <c r="N18" i="2" s="1"/>
  <c r="M19" i="2"/>
  <c r="N30" i="2" l="1"/>
  <c r="O14" i="2" s="1"/>
  <c r="O16" i="2" s="1"/>
  <c r="O17" i="2" s="1"/>
  <c r="O18" i="2" s="1"/>
  <c r="N19" i="2"/>
  <c r="O30" i="2" l="1"/>
  <c r="P14" i="2" s="1"/>
  <c r="P16" i="2" s="1"/>
  <c r="P17" i="2" s="1"/>
  <c r="P18" i="2" s="1"/>
  <c r="P19" i="2" s="1"/>
  <c r="O19" i="2"/>
  <c r="P30" i="2" l="1"/>
  <c r="Q18" i="2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S24" i="2" l="1"/>
  <c r="S25" i="2" l="1"/>
  <c r="S2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tc={4391175B-2EA0-468A-9084-56CE6683FEAF}</author>
  </authors>
  <commentList>
    <comment ref="G2" authorId="0" shapeId="0" xr:uid="{4391175B-2EA0-468A-9084-56CE6683FEAF}">
      <text>
        <t>[Threaded comment]
Your version of Excel allows you to read this threaded comment; however, any edits to it will get removed if the file is opened in a newer version of Excel. Learn more: https://go.microsoft.com/fwlink/?linkid=870924
Comment:
    “due to sale of Sun Art”</t>
      </text>
    </comment>
  </commentList>
</comments>
</file>

<file path=xl/sharedStrings.xml><?xml version="1.0" encoding="utf-8"?>
<sst xmlns="http://schemas.openxmlformats.org/spreadsheetml/2006/main" count="53" uniqueCount="46">
  <si>
    <t>BABA</t>
  </si>
  <si>
    <t>Price</t>
  </si>
  <si>
    <t>Shares</t>
  </si>
  <si>
    <t>MC</t>
  </si>
  <si>
    <t>Cash</t>
  </si>
  <si>
    <t>Debt</t>
  </si>
  <si>
    <t>EV</t>
  </si>
  <si>
    <t>Main</t>
  </si>
  <si>
    <t>Revenue</t>
  </si>
  <si>
    <t>Q125</t>
  </si>
  <si>
    <t>Employees</t>
  </si>
  <si>
    <t>Q124</t>
  </si>
  <si>
    <t>Q224</t>
  </si>
  <si>
    <t>Q324</t>
  </si>
  <si>
    <t>Q424</t>
  </si>
  <si>
    <t>COGS</t>
  </si>
  <si>
    <t>R&amp;D</t>
  </si>
  <si>
    <t>S&amp;M</t>
  </si>
  <si>
    <t>G&amp;A</t>
  </si>
  <si>
    <t>Amort</t>
  </si>
  <si>
    <t>Other</t>
  </si>
  <si>
    <t>Pretax Income</t>
  </si>
  <si>
    <t>Operating Expenses</t>
  </si>
  <si>
    <t>Operating Income</t>
  </si>
  <si>
    <t>Tax</t>
  </si>
  <si>
    <t>Net Income</t>
  </si>
  <si>
    <t>EPS</t>
  </si>
  <si>
    <t>Revenue y/y</t>
  </si>
  <si>
    <t>Revenue q/q</t>
  </si>
  <si>
    <t>Tax Rate</t>
  </si>
  <si>
    <t>Gross Margin</t>
  </si>
  <si>
    <t>Operating Margin</t>
  </si>
  <si>
    <t>OPEX Margin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</si>
  <si>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</si>
  <si>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</si>
  <si>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</si>
  <si>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</si>
  <si>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</si>
  <si>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</si>
  <si>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</si>
  <si>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</si>
  <si>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Diff</t>
  </si>
  <si>
    <t>Gross Profit</t>
  </si>
  <si>
    <t>Interest Income</t>
  </si>
  <si>
    <t>Other Income</t>
  </si>
  <si>
    <t>8:1 ADR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</si>
</sst>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3" fontId="2" fillId="0" borderId="0" xfId="1" applyNumberForma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10" fontId="0" fillId="0" borderId="0" xfId="0" applyNumberFormat="1"/>
    <xf numFmtId="4" fontId="0" fillId="0" borderId="0" xfId="0" applyNumberFormat="1"/>
    <xf numFmtId="9" fontId="0" fillId="0" borderId="0" xfId="0" applyNumberFormat="1"/>
    <xf numFmtId="38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0</xdr:row>
      <xdr:rowOff>0</xdr:rowOff>
    </xdr:from>
    <xdr:to>
      <xdr:col>11</xdr:col>
      <xdr:colOff>0</xdr:colOff>
      <xdr:row>56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CD6A1B4-A616-15D2-A1F7-DC69FD9BF2B1}"/>
            </a:ext>
          </a:extLst>
        </xdr:cNvPr>
        <xdr:cNvCxnSpPr/>
      </xdr:nvCxnSpPr>
      <xdr:spPr>
        <a:xfrm flipH="1">
          <a:off x="7848600" y="0"/>
          <a:ext cx="9525" cy="98774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9525</xdr:colOff>
      <xdr:row>56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16313EE-40CD-43D1-9B39-ED915E871B68}"/>
            </a:ext>
          </a:extLst>
        </xdr:cNvPr>
        <xdr:cNvCxnSpPr/>
      </xdr:nvCxnSpPr>
      <xdr:spPr>
        <a:xfrm flipH="1">
          <a:off x="5114925" y="0"/>
          <a:ext cx="9525" cy="98774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B189F785-B9A2-429A-9544-138F2B514862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5-05-24T00:49:08.02" personId="{B189F785-B9A2-429A-9544-138F2B514862}" id="{4391175B-2EA0-468A-9084-56CE6683FEAF}">
    <text>“due to sale of Sun Art”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699E-D507-4BE7-B873-888DB36189B3}">
  <dimension ref="A1:F8"/>
  <sheetViews>
    <sheetView zoomScale="190" zoomScaleNormal="190" workbookViewId="0">
      <selection activeCell="D7" sqref="D7"/>
    </sheetView>
  </sheetViews>
  <sheetFormatPr defaultRowHeight="14.25" x14ac:dyDescent="0.2"/>
  <sheetData>
    <row r="1" spans="1:6" ht="15" x14ac:dyDescent="0.25">
      <c r="A1" s="1" t="s">
        <v>0</v>
      </c>
    </row>
    <row r="3" spans="1:6" x14ac:dyDescent="0.2">
      <c r="C3" t="s">
        <v>1</v>
      </c>
      <c r="D3" s="3">
        <v>121</v>
      </c>
    </row>
    <row r="4" spans="1:6" x14ac:dyDescent="0.2">
      <c r="C4" t="s">
        <v>2</v>
      </c>
      <c r="D4" s="3">
        <f>19318/8</f>
        <v>2414.75</v>
      </c>
      <c r="E4" t="s">
        <v>9</v>
      </c>
      <c r="F4" t="s">
        <v>45</v>
      </c>
    </row>
    <row r="5" spans="1:6" x14ac:dyDescent="0.2">
      <c r="C5" t="s">
        <v>3</v>
      </c>
      <c r="D5" s="3">
        <f>D4*D3</f>
        <v>292184.75</v>
      </c>
    </row>
    <row r="6" spans="1:6" x14ac:dyDescent="0.2">
      <c r="C6" t="s">
        <v>4</v>
      </c>
      <c r="D6" s="3">
        <f>20.1+31.53+7.4+27.86+6.03</f>
        <v>92.92</v>
      </c>
      <c r="E6" t="s">
        <v>9</v>
      </c>
    </row>
    <row r="7" spans="1:6" x14ac:dyDescent="0.2">
      <c r="C7" t="s">
        <v>5</v>
      </c>
      <c r="D7" s="3">
        <f>6.7+6.9+16.9+4.9+2.4</f>
        <v>37.799999999999997</v>
      </c>
      <c r="E7" t="s">
        <v>9</v>
      </c>
    </row>
    <row r="8" spans="1:6" x14ac:dyDescent="0.2">
      <c r="C8" t="s">
        <v>6</v>
      </c>
      <c r="D8" s="3">
        <f>D5+D6-D7</f>
        <v>292239.87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1115-5B04-4E2D-8D07-DB8D1E8FDB42}">
  <dimension ref="A1:DJ36"/>
  <sheetViews>
    <sheetView tabSelected="1" workbookViewId="0">
      <pane xSplit="2" ySplit="1" topLeftCell="J3" activePane="bottomRight" state="frozen"/>
      <selection pane="topRight" activeCell="C1" sqref="C1"/>
      <selection pane="bottomLeft" activeCell="A2" sqref="A2"/>
      <selection pane="bottomRight" activeCell="S21" sqref="S21"/>
    </sheetView>
  </sheetViews>
  <sheetFormatPr defaultRowHeight="14.25" x14ac:dyDescent="0.2"/>
  <cols>
    <col min="1" max="1" width="4.25" style="3" customWidth="1"/>
    <col min="2" max="2" width="17.875" style="3" customWidth="1"/>
    <col min="3" max="16384" width="9" style="3"/>
  </cols>
  <sheetData>
    <row r="1" spans="1:16" x14ac:dyDescent="0.2">
      <c r="A1" s="2" t="s">
        <v>7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9</v>
      </c>
      <c r="I1" s="5">
        <v>2022</v>
      </c>
      <c r="J1" s="5">
        <f>I1+1</f>
        <v>2023</v>
      </c>
      <c r="K1" s="5">
        <f t="shared" ref="K1:P1" si="0">J1+1</f>
        <v>2024</v>
      </c>
      <c r="L1" s="5">
        <f t="shared" si="0"/>
        <v>2025</v>
      </c>
      <c r="M1" s="5">
        <f t="shared" si="0"/>
        <v>2026</v>
      </c>
      <c r="N1" s="5">
        <f t="shared" si="0"/>
        <v>2027</v>
      </c>
      <c r="O1" s="5">
        <f t="shared" si="0"/>
        <v>2028</v>
      </c>
      <c r="P1" s="5">
        <f t="shared" si="0"/>
        <v>2029</v>
      </c>
    </row>
    <row r="2" spans="1:16" x14ac:dyDescent="0.2">
      <c r="A2" s="2"/>
      <c r="B2" s="3" t="s">
        <v>10</v>
      </c>
      <c r="C2" s="3">
        <v>204891</v>
      </c>
      <c r="G2" s="3">
        <v>124320</v>
      </c>
    </row>
    <row r="3" spans="1:16" x14ac:dyDescent="0.2">
      <c r="A3" s="2"/>
    </row>
    <row r="4" spans="1:16" s="4" customFormat="1" ht="15" x14ac:dyDescent="0.25">
      <c r="A4" s="3"/>
      <c r="B4" s="4" t="s">
        <v>8</v>
      </c>
      <c r="K4" s="4">
        <v>137300</v>
      </c>
      <c r="L4" s="4">
        <f>K4*1.04</f>
        <v>142792</v>
      </c>
      <c r="M4" s="4">
        <f t="shared" ref="M4:P4" si="1">L4*1.04</f>
        <v>148503.67999999999</v>
      </c>
      <c r="N4" s="4">
        <f t="shared" si="1"/>
        <v>154443.8272</v>
      </c>
      <c r="O4" s="4">
        <f t="shared" si="1"/>
        <v>160621.580288</v>
      </c>
      <c r="P4" s="4">
        <f t="shared" si="1"/>
        <v>167046.44349952001</v>
      </c>
    </row>
    <row r="5" spans="1:16" x14ac:dyDescent="0.2">
      <c r="B5" s="3" t="s">
        <v>15</v>
      </c>
      <c r="K5" s="3">
        <v>82446</v>
      </c>
      <c r="L5" s="3">
        <f>L4*(1-L26)</f>
        <v>85173.358399999997</v>
      </c>
      <c r="M5" s="3">
        <f t="shared" ref="M5:P5" si="2">M4*(1-M26)</f>
        <v>87981.058863359984</v>
      </c>
      <c r="N5" s="3">
        <f t="shared" si="2"/>
        <v>90870.865958073351</v>
      </c>
      <c r="O5" s="3">
        <f t="shared" si="2"/>
        <v>93844.541799480241</v>
      </c>
      <c r="P5" s="3">
        <f t="shared" si="2"/>
        <v>96903.842271178859</v>
      </c>
    </row>
    <row r="6" spans="1:16" x14ac:dyDescent="0.2">
      <c r="B6" s="3" t="s">
        <v>42</v>
      </c>
      <c r="K6" s="3">
        <f>K4-K5</f>
        <v>54854</v>
      </c>
      <c r="L6" s="3">
        <f t="shared" ref="L6:P6" si="3">L4-L5</f>
        <v>57618.641600000003</v>
      </c>
      <c r="M6" s="3">
        <f t="shared" si="3"/>
        <v>60522.621136640009</v>
      </c>
      <c r="N6" s="3">
        <f t="shared" si="3"/>
        <v>63572.961241926649</v>
      </c>
      <c r="O6" s="3">
        <f t="shared" si="3"/>
        <v>66777.038488519756</v>
      </c>
      <c r="P6" s="3">
        <f t="shared" si="3"/>
        <v>70142.601228341155</v>
      </c>
    </row>
    <row r="7" spans="1:16" x14ac:dyDescent="0.2">
      <c r="B7" s="3" t="s">
        <v>16</v>
      </c>
      <c r="K7" s="3">
        <v>7876</v>
      </c>
    </row>
    <row r="8" spans="1:16" x14ac:dyDescent="0.2">
      <c r="B8" s="3" t="s">
        <v>17</v>
      </c>
      <c r="K8" s="3">
        <v>19847</v>
      </c>
    </row>
    <row r="9" spans="1:16" x14ac:dyDescent="0.2">
      <c r="B9" s="3" t="s">
        <v>18</v>
      </c>
      <c r="K9" s="3">
        <v>6096</v>
      </c>
    </row>
    <row r="10" spans="1:16" x14ac:dyDescent="0.2">
      <c r="B10" s="3" t="s">
        <v>19</v>
      </c>
      <c r="K10" s="3">
        <v>873</v>
      </c>
    </row>
    <row r="11" spans="1:16" x14ac:dyDescent="0.2">
      <c r="B11" s="3" t="s">
        <v>20</v>
      </c>
      <c r="K11" s="3">
        <v>105</v>
      </c>
    </row>
    <row r="12" spans="1:16" x14ac:dyDescent="0.2">
      <c r="B12" s="3" t="s">
        <v>22</v>
      </c>
      <c r="K12" s="3">
        <f>SUM(K7:K11)</f>
        <v>34797</v>
      </c>
      <c r="L12" s="3">
        <f>L4*L28</f>
        <v>35826.991199999997</v>
      </c>
      <c r="M12" s="3">
        <f t="shared" ref="M12:P12" si="4">M4*M28</f>
        <v>36887.470139519988</v>
      </c>
      <c r="N12" s="3">
        <f t="shared" si="4"/>
        <v>37979.339255649786</v>
      </c>
      <c r="O12" s="3">
        <f t="shared" si="4"/>
        <v>39103.527697617021</v>
      </c>
      <c r="P12" s="3">
        <f t="shared" si="4"/>
        <v>40260.992117466485</v>
      </c>
    </row>
    <row r="13" spans="1:16" x14ac:dyDescent="0.2">
      <c r="B13" s="3" t="s">
        <v>23</v>
      </c>
      <c r="K13" s="3">
        <f>K6-K12</f>
        <v>20057</v>
      </c>
      <c r="L13" s="3">
        <f t="shared" ref="L13:P13" si="5">L6-L12</f>
        <v>21791.650400000006</v>
      </c>
      <c r="M13" s="3">
        <f t="shared" si="5"/>
        <v>23635.150997120021</v>
      </c>
      <c r="N13" s="3">
        <f t="shared" si="5"/>
        <v>25593.621986276863</v>
      </c>
      <c r="O13" s="3">
        <f t="shared" si="5"/>
        <v>27673.510790902736</v>
      </c>
      <c r="P13" s="3">
        <f t="shared" si="5"/>
        <v>29881.60911087467</v>
      </c>
    </row>
    <row r="14" spans="1:16" x14ac:dyDescent="0.2">
      <c r="B14" s="3" t="s">
        <v>43</v>
      </c>
      <c r="K14" s="3">
        <f>2861-1323</f>
        <v>1538</v>
      </c>
      <c r="L14" s="3">
        <f>K30*$S$21</f>
        <v>3.3072000000000004</v>
      </c>
      <c r="M14" s="3">
        <f>L30*$S$21</f>
        <v>1058.9667062400001</v>
      </c>
      <c r="N14" s="3">
        <f>M30*$S$21</f>
        <v>2252.4979716992652</v>
      </c>
      <c r="O14" s="3">
        <f>N30*$S$21</f>
        <v>3595.8947457537338</v>
      </c>
      <c r="P14" s="3">
        <f>O30*$S$21</f>
        <v>5102.0250699985772</v>
      </c>
    </row>
    <row r="15" spans="1:16" x14ac:dyDescent="0.2">
      <c r="B15" s="3" t="s">
        <v>44</v>
      </c>
      <c r="K15" s="3">
        <v>467</v>
      </c>
      <c r="L15" s="3">
        <f>K15*1.02</f>
        <v>476.34000000000003</v>
      </c>
      <c r="M15" s="3">
        <f t="shared" ref="M15:P15" si="6">L15*1.02</f>
        <v>485.86680000000007</v>
      </c>
      <c r="N15" s="3">
        <f t="shared" si="6"/>
        <v>495.58413600000006</v>
      </c>
      <c r="O15" s="3">
        <f t="shared" si="6"/>
        <v>505.49581872000005</v>
      </c>
      <c r="P15" s="3">
        <f t="shared" si="6"/>
        <v>515.60573509440007</v>
      </c>
    </row>
    <row r="16" spans="1:16" x14ac:dyDescent="0.2">
      <c r="B16" s="3" t="s">
        <v>21</v>
      </c>
      <c r="K16" s="3">
        <f>SUM(K13:K15)</f>
        <v>22062</v>
      </c>
      <c r="L16" s="3">
        <f t="shared" ref="L16:P16" si="7">SUM(L13:L15)</f>
        <v>22271.297600000005</v>
      </c>
      <c r="M16" s="3">
        <f t="shared" si="7"/>
        <v>25179.984503360021</v>
      </c>
      <c r="N16" s="3">
        <f t="shared" si="7"/>
        <v>28341.704093976128</v>
      </c>
      <c r="O16" s="3">
        <f t="shared" si="7"/>
        <v>31774.901355376467</v>
      </c>
      <c r="P16" s="3">
        <f t="shared" si="7"/>
        <v>35499.23991596765</v>
      </c>
    </row>
    <row r="17" spans="1:114" x14ac:dyDescent="0.2">
      <c r="B17" s="3" t="s">
        <v>24</v>
      </c>
      <c r="K17" s="3">
        <v>4884</v>
      </c>
      <c r="L17" s="3">
        <f>L16*L24</f>
        <v>4676.9724960000012</v>
      </c>
      <c r="M17" s="3">
        <f t="shared" ref="M17:P17" si="8">M16*M24</f>
        <v>5287.7967457056047</v>
      </c>
      <c r="N17" s="3">
        <f t="shared" si="8"/>
        <v>5951.7578597349866</v>
      </c>
      <c r="O17" s="3">
        <f t="shared" si="8"/>
        <v>6672.7292846290575</v>
      </c>
      <c r="P17" s="3">
        <f t="shared" si="8"/>
        <v>7454.8403823532062</v>
      </c>
    </row>
    <row r="18" spans="1:114" s="4" customFormat="1" ht="15" x14ac:dyDescent="0.25">
      <c r="A18" s="3"/>
      <c r="B18" s="4" t="s">
        <v>25</v>
      </c>
      <c r="K18" s="4">
        <f>K16-K17</f>
        <v>17178</v>
      </c>
      <c r="L18" s="4">
        <f t="shared" ref="L18:P18" si="9">L16-L17</f>
        <v>17594.325104000003</v>
      </c>
      <c r="M18" s="4">
        <f t="shared" si="9"/>
        <v>19892.187757654418</v>
      </c>
      <c r="N18" s="4">
        <f t="shared" si="9"/>
        <v>22389.946234241143</v>
      </c>
      <c r="O18" s="4">
        <f t="shared" si="9"/>
        <v>25102.172070747409</v>
      </c>
      <c r="P18" s="4">
        <f t="shared" si="9"/>
        <v>28044.399533614443</v>
      </c>
      <c r="Q18" s="4">
        <f t="shared" ref="Q18:AV18" si="10">P18*(1+$S$22)</f>
        <v>28324.843528950587</v>
      </c>
      <c r="R18" s="4">
        <f t="shared" si="10"/>
        <v>28608.091964240091</v>
      </c>
      <c r="S18" s="4">
        <f t="shared" si="10"/>
        <v>28894.172883882493</v>
      </c>
      <c r="T18" s="4">
        <f t="shared" si="10"/>
        <v>29183.114612721318</v>
      </c>
      <c r="U18" s="4">
        <f t="shared" si="10"/>
        <v>29474.945758848531</v>
      </c>
      <c r="V18" s="4">
        <f t="shared" si="10"/>
        <v>29769.695216437016</v>
      </c>
      <c r="W18" s="4">
        <f t="shared" si="10"/>
        <v>30067.392168601385</v>
      </c>
      <c r="X18" s="4">
        <f t="shared" si="10"/>
        <v>30368.066090287401</v>
      </c>
      <c r="Y18" s="4">
        <f t="shared" si="10"/>
        <v>30671.746751190276</v>
      </c>
      <c r="Z18" s="4">
        <f t="shared" si="10"/>
        <v>30978.464218702178</v>
      </c>
      <c r="AA18" s="4">
        <f t="shared" si="10"/>
        <v>31288.248860889202</v>
      </c>
      <c r="AB18" s="4">
        <f t="shared" si="10"/>
        <v>31601.131349498093</v>
      </c>
      <c r="AC18" s="4">
        <f t="shared" si="10"/>
        <v>31917.142662993076</v>
      </c>
      <c r="AD18" s="4">
        <f t="shared" si="10"/>
        <v>32236.314089623007</v>
      </c>
      <c r="AE18" s="4">
        <f t="shared" si="10"/>
        <v>32558.677230519239</v>
      </c>
      <c r="AF18" s="4">
        <f t="shared" si="10"/>
        <v>32884.264002824435</v>
      </c>
      <c r="AG18" s="4">
        <f t="shared" si="10"/>
        <v>33213.106642852683</v>
      </c>
      <c r="AH18" s="4">
        <f t="shared" si="10"/>
        <v>33545.237709281209</v>
      </c>
      <c r="AI18" s="4">
        <f t="shared" si="10"/>
        <v>33880.690086374023</v>
      </c>
      <c r="AJ18" s="4">
        <f t="shared" si="10"/>
        <v>34219.496987237762</v>
      </c>
      <c r="AK18" s="4">
        <f t="shared" si="10"/>
        <v>34561.691957110139</v>
      </c>
      <c r="AL18" s="4">
        <f t="shared" si="10"/>
        <v>34907.308876681243</v>
      </c>
      <c r="AM18" s="4">
        <f t="shared" si="10"/>
        <v>35256.381965448054</v>
      </c>
      <c r="AN18" s="4">
        <f t="shared" si="10"/>
        <v>35608.945785102536</v>
      </c>
      <c r="AO18" s="4">
        <f t="shared" si="10"/>
        <v>35965.035242953563</v>
      </c>
      <c r="AP18" s="4">
        <f t="shared" si="10"/>
        <v>36324.685595383096</v>
      </c>
      <c r="AQ18" s="4">
        <f t="shared" si="10"/>
        <v>36687.932451336928</v>
      </c>
      <c r="AR18" s="4">
        <f t="shared" si="10"/>
        <v>37054.811775850299</v>
      </c>
      <c r="AS18" s="4">
        <f t="shared" si="10"/>
        <v>37425.359893608802</v>
      </c>
      <c r="AT18" s="4">
        <f t="shared" si="10"/>
        <v>37799.613492544893</v>
      </c>
      <c r="AU18" s="4">
        <f t="shared" si="10"/>
        <v>38177.609627470345</v>
      </c>
      <c r="AV18" s="4">
        <f t="shared" si="10"/>
        <v>38559.38572374505</v>
      </c>
      <c r="AW18" s="4">
        <f t="shared" ref="AW18:CB18" si="11">AV18*(1+$S$22)</f>
        <v>38944.979580982501</v>
      </c>
      <c r="AX18" s="4">
        <f t="shared" si="11"/>
        <v>39334.429376792323</v>
      </c>
      <c r="AY18" s="4">
        <f t="shared" si="11"/>
        <v>39727.773670560244</v>
      </c>
      <c r="AZ18" s="4">
        <f t="shared" si="11"/>
        <v>40125.051407265848</v>
      </c>
      <c r="BA18" s="4">
        <f t="shared" si="11"/>
        <v>40526.301921338505</v>
      </c>
      <c r="BB18" s="4">
        <f t="shared" si="11"/>
        <v>40931.564940551893</v>
      </c>
      <c r="BC18" s="4">
        <f t="shared" si="11"/>
        <v>41340.880589957414</v>
      </c>
      <c r="BD18" s="4">
        <f t="shared" si="11"/>
        <v>41754.289395856991</v>
      </c>
      <c r="BE18" s="4">
        <f t="shared" si="11"/>
        <v>42171.83228981556</v>
      </c>
      <c r="BF18" s="4">
        <f t="shared" si="11"/>
        <v>42593.55061271372</v>
      </c>
      <c r="BG18" s="4">
        <f t="shared" si="11"/>
        <v>43019.486118840854</v>
      </c>
      <c r="BH18" s="4">
        <f t="shared" si="11"/>
        <v>43449.680980029261</v>
      </c>
      <c r="BI18" s="4">
        <f t="shared" si="11"/>
        <v>43884.177789829555</v>
      </c>
      <c r="BJ18" s="4">
        <f t="shared" si="11"/>
        <v>44323.019567727853</v>
      </c>
      <c r="BK18" s="4">
        <f t="shared" si="11"/>
        <v>44766.249763405132</v>
      </c>
      <c r="BL18" s="4">
        <f t="shared" si="11"/>
        <v>45213.912261039186</v>
      </c>
      <c r="BM18" s="4">
        <f t="shared" si="11"/>
        <v>45666.051383649581</v>
      </c>
      <c r="BN18" s="4">
        <f t="shared" si="11"/>
        <v>46122.711897486079</v>
      </c>
      <c r="BO18" s="4">
        <f t="shared" si="11"/>
        <v>46583.939016460943</v>
      </c>
      <c r="BP18" s="4">
        <f t="shared" si="11"/>
        <v>47049.778406625555</v>
      </c>
      <c r="BQ18" s="4">
        <f t="shared" si="11"/>
        <v>47520.276190691809</v>
      </c>
      <c r="BR18" s="4">
        <f t="shared" si="11"/>
        <v>47995.478952598729</v>
      </c>
      <c r="BS18" s="4">
        <f t="shared" si="11"/>
        <v>48475.433742124718</v>
      </c>
      <c r="BT18" s="4">
        <f t="shared" si="11"/>
        <v>48960.188079545966</v>
      </c>
      <c r="BU18" s="4">
        <f t="shared" si="11"/>
        <v>49449.789960341426</v>
      </c>
      <c r="BV18" s="4">
        <f t="shared" si="11"/>
        <v>49944.287859944838</v>
      </c>
      <c r="BW18" s="4">
        <f t="shared" si="11"/>
        <v>50443.730738544284</v>
      </c>
      <c r="BX18" s="4">
        <f t="shared" si="11"/>
        <v>50948.168045929728</v>
      </c>
      <c r="BY18" s="4">
        <f t="shared" si="11"/>
        <v>51457.649726389027</v>
      </c>
      <c r="BZ18" s="4">
        <f t="shared" si="11"/>
        <v>51972.22622365292</v>
      </c>
      <c r="CA18" s="4">
        <f t="shared" si="11"/>
        <v>52491.94848588945</v>
      </c>
      <c r="CB18" s="4">
        <f t="shared" si="11"/>
        <v>53016.867970748346</v>
      </c>
      <c r="CC18" s="4">
        <f t="shared" ref="CC18:DJ18" si="12">CB18*(1+$S$22)</f>
        <v>53547.036650455833</v>
      </c>
      <c r="CD18" s="4">
        <f t="shared" si="12"/>
        <v>54082.507016960393</v>
      </c>
      <c r="CE18" s="4">
        <f t="shared" si="12"/>
        <v>54623.332087129995</v>
      </c>
      <c r="CF18" s="4">
        <f t="shared" si="12"/>
        <v>55169.565408001297</v>
      </c>
      <c r="CG18" s="4">
        <f t="shared" si="12"/>
        <v>55721.261062081314</v>
      </c>
      <c r="CH18" s="4">
        <f t="shared" si="12"/>
        <v>56278.47367270213</v>
      </c>
      <c r="CI18" s="4">
        <f t="shared" si="12"/>
        <v>56841.258409429152</v>
      </c>
      <c r="CJ18" s="4">
        <f t="shared" si="12"/>
        <v>57409.670993523447</v>
      </c>
      <c r="CK18" s="4">
        <f t="shared" si="12"/>
        <v>57983.767703458681</v>
      </c>
      <c r="CL18" s="4">
        <f t="shared" si="12"/>
        <v>58563.605380493267</v>
      </c>
      <c r="CM18" s="4">
        <f t="shared" si="12"/>
        <v>59149.241434298201</v>
      </c>
      <c r="CN18" s="4">
        <f t="shared" si="12"/>
        <v>59740.733848641183</v>
      </c>
      <c r="CO18" s="4">
        <f t="shared" si="12"/>
        <v>60338.141187127592</v>
      </c>
      <c r="CP18" s="4">
        <f t="shared" si="12"/>
        <v>60941.522598998868</v>
      </c>
      <c r="CQ18" s="4">
        <f t="shared" si="12"/>
        <v>61550.937824988854</v>
      </c>
      <c r="CR18" s="4">
        <f t="shared" si="12"/>
        <v>62166.447203238742</v>
      </c>
      <c r="CS18" s="4">
        <f t="shared" si="12"/>
        <v>62788.111675271131</v>
      </c>
      <c r="CT18" s="4">
        <f t="shared" si="12"/>
        <v>63415.992792023841</v>
      </c>
      <c r="CU18" s="4">
        <f t="shared" si="12"/>
        <v>64050.152719944082</v>
      </c>
      <c r="CV18" s="4">
        <f t="shared" si="12"/>
        <v>64690.654247143524</v>
      </c>
      <c r="CW18" s="4">
        <f t="shared" si="12"/>
        <v>65337.56078961496</v>
      </c>
      <c r="CX18" s="4">
        <f t="shared" si="12"/>
        <v>65990.936397511105</v>
      </c>
      <c r="CY18" s="4">
        <f t="shared" si="12"/>
        <v>66650.845761486213</v>
      </c>
      <c r="CZ18" s="4">
        <f t="shared" si="12"/>
        <v>67317.354219101078</v>
      </c>
      <c r="DA18" s="4">
        <f t="shared" si="12"/>
        <v>67990.527761292091</v>
      </c>
      <c r="DB18" s="4">
        <f t="shared" si="12"/>
        <v>68670.433038905016</v>
      </c>
      <c r="DC18" s="4">
        <f t="shared" si="12"/>
        <v>69357.137369294069</v>
      </c>
      <c r="DD18" s="4">
        <f t="shared" si="12"/>
        <v>70050.708742987015</v>
      </c>
      <c r="DE18" s="4">
        <f t="shared" si="12"/>
        <v>70751.215830416884</v>
      </c>
      <c r="DF18" s="4">
        <f t="shared" si="12"/>
        <v>71458.727988721061</v>
      </c>
      <c r="DG18" s="4">
        <f t="shared" si="12"/>
        <v>72173.315268608276</v>
      </c>
      <c r="DH18" s="4">
        <f t="shared" si="12"/>
        <v>72895.048421294356</v>
      </c>
      <c r="DI18" s="4">
        <f t="shared" si="12"/>
        <v>73623.998905507295</v>
      </c>
      <c r="DJ18" s="4">
        <f t="shared" si="12"/>
        <v>74360.238894562368</v>
      </c>
    </row>
    <row r="19" spans="1:114" x14ac:dyDescent="0.2">
      <c r="B19" s="3" t="s">
        <v>26</v>
      </c>
      <c r="K19" s="8">
        <f>K18/K20</f>
        <v>0.88922248679987581</v>
      </c>
      <c r="L19" s="8">
        <f t="shared" ref="L19:P19" si="13">L18/L20</f>
        <v>0.92936085325941142</v>
      </c>
      <c r="M19" s="8">
        <f t="shared" si="13"/>
        <v>1.0721813204305994</v>
      </c>
      <c r="N19" s="8">
        <f t="shared" si="13"/>
        <v>1.2314383143499756</v>
      </c>
      <c r="O19" s="8">
        <f t="shared" si="13"/>
        <v>1.4087853857339396</v>
      </c>
      <c r="P19" s="8">
        <f t="shared" si="13"/>
        <v>1.6060298224429173</v>
      </c>
    </row>
    <row r="20" spans="1:114" x14ac:dyDescent="0.2">
      <c r="B20" s="3" t="s">
        <v>2</v>
      </c>
      <c r="K20" s="3">
        <v>19318</v>
      </c>
      <c r="L20" s="3">
        <f>K20*0.98</f>
        <v>18931.64</v>
      </c>
      <c r="M20" s="3">
        <f t="shared" ref="M20:P20" si="14">L20*0.98</f>
        <v>18553.0072</v>
      </c>
      <c r="N20" s="3">
        <f t="shared" si="14"/>
        <v>18181.947056000001</v>
      </c>
      <c r="O20" s="3">
        <f t="shared" si="14"/>
        <v>17818.308114880001</v>
      </c>
      <c r="P20" s="3">
        <f t="shared" si="14"/>
        <v>17461.941952582401</v>
      </c>
    </row>
    <row r="21" spans="1:114" x14ac:dyDescent="0.2">
      <c r="K21" s="3">
        <f>K20/8</f>
        <v>2414.75</v>
      </c>
      <c r="R21" s="3" t="s">
        <v>37</v>
      </c>
      <c r="S21" s="7">
        <v>0.06</v>
      </c>
    </row>
    <row r="22" spans="1:114" s="4" customFormat="1" ht="15" x14ac:dyDescent="0.25">
      <c r="A22" s="3"/>
      <c r="B22" s="4" t="s">
        <v>27</v>
      </c>
      <c r="K22" s="6" t="e">
        <f>K4/J4-1</f>
        <v>#DIV/0!</v>
      </c>
      <c r="L22" s="6">
        <f>L4/K4-1</f>
        <v>4.0000000000000036E-2</v>
      </c>
      <c r="M22" s="6">
        <f t="shared" ref="M22:P22" si="15">M4/L4-1</f>
        <v>4.0000000000000036E-2</v>
      </c>
      <c r="N22" s="6">
        <f t="shared" si="15"/>
        <v>4.0000000000000036E-2</v>
      </c>
      <c r="O22" s="6">
        <f t="shared" si="15"/>
        <v>4.0000000000000036E-2</v>
      </c>
      <c r="P22" s="6">
        <f t="shared" si="15"/>
        <v>4.0000000000000036E-2</v>
      </c>
      <c r="R22" s="3" t="s">
        <v>38</v>
      </c>
      <c r="S22" s="7">
        <v>0.01</v>
      </c>
    </row>
    <row r="23" spans="1:114" x14ac:dyDescent="0.2">
      <c r="B23" s="3" t="s">
        <v>28</v>
      </c>
      <c r="R23" s="3" t="s">
        <v>39</v>
      </c>
      <c r="S23" s="7">
        <v>7.4999999999999997E-2</v>
      </c>
    </row>
    <row r="24" spans="1:114" ht="15" x14ac:dyDescent="0.25">
      <c r="B24" s="3" t="s">
        <v>29</v>
      </c>
      <c r="K24" s="9">
        <f>K17/K16</f>
        <v>0.22137612183845526</v>
      </c>
      <c r="L24" s="9">
        <v>0.21</v>
      </c>
      <c r="M24" s="9">
        <v>0.21</v>
      </c>
      <c r="N24" s="9">
        <v>0.21</v>
      </c>
      <c r="O24" s="9">
        <v>0.21</v>
      </c>
      <c r="P24" s="9">
        <v>0.21</v>
      </c>
      <c r="R24" s="4" t="s">
        <v>40</v>
      </c>
      <c r="S24" s="10">
        <f>NPV(S23,L18:XFD18)+Main!D6-Main!D7</f>
        <v>392854.07137473399</v>
      </c>
    </row>
    <row r="25" spans="1:114" x14ac:dyDescent="0.2">
      <c r="R25" s="3" t="s">
        <v>1</v>
      </c>
      <c r="S25" s="3">
        <f>S24/Main!D4</f>
        <v>162.68933486892391</v>
      </c>
    </row>
    <row r="26" spans="1:114" s="4" customFormat="1" ht="15" x14ac:dyDescent="0.25">
      <c r="A26" s="3"/>
      <c r="B26" s="4" t="s">
        <v>30</v>
      </c>
      <c r="K26" s="6">
        <f>K6/K4</f>
        <v>0.39951930080116532</v>
      </c>
      <c r="L26" s="6">
        <f>K26*1.01</f>
        <v>0.40351449380917698</v>
      </c>
      <c r="M26" s="6">
        <f t="shared" ref="M26:P26" si="16">L26*1.01</f>
        <v>0.40754963874726874</v>
      </c>
      <c r="N26" s="6">
        <f t="shared" si="16"/>
        <v>0.41162513513474142</v>
      </c>
      <c r="O26" s="6">
        <f t="shared" si="16"/>
        <v>0.41574138648608883</v>
      </c>
      <c r="P26" s="6">
        <f t="shared" si="16"/>
        <v>0.41989880035094973</v>
      </c>
      <c r="R26" s="3" t="s">
        <v>41</v>
      </c>
      <c r="S26" s="9">
        <f>S25/Main!D3-1</f>
        <v>0.34453995759441236</v>
      </c>
    </row>
    <row r="27" spans="1:114" x14ac:dyDescent="0.2">
      <c r="B27" s="3" t="s">
        <v>31</v>
      </c>
      <c r="K27" s="9">
        <f>K13/K4</f>
        <v>0.146081573197378</v>
      </c>
      <c r="L27" s="9">
        <f t="shared" ref="L27:P27" si="17">L13/L4</f>
        <v>0.15261114348142757</v>
      </c>
      <c r="M27" s="9">
        <f t="shared" si="17"/>
        <v>0.15915532192279694</v>
      </c>
      <c r="N27" s="9">
        <f t="shared" si="17"/>
        <v>0.16571476147851419</v>
      </c>
      <c r="O27" s="9">
        <f t="shared" si="17"/>
        <v>0.1722901165664239</v>
      </c>
      <c r="P27" s="9">
        <f t="shared" si="17"/>
        <v>0.17888204313048145</v>
      </c>
    </row>
    <row r="28" spans="1:114" x14ac:dyDescent="0.2">
      <c r="B28" s="3" t="s">
        <v>32</v>
      </c>
      <c r="K28" s="9">
        <f>K12/K4</f>
        <v>0.2534377276037873</v>
      </c>
      <c r="L28" s="9">
        <f>K28*0.99</f>
        <v>0.25090335032774941</v>
      </c>
      <c r="M28" s="9">
        <f t="shared" ref="M28:P28" si="18">L28*0.99</f>
        <v>0.24839431682447191</v>
      </c>
      <c r="N28" s="9">
        <f t="shared" si="18"/>
        <v>0.2459103736562272</v>
      </c>
      <c r="O28" s="9">
        <f t="shared" si="18"/>
        <v>0.24345126991966493</v>
      </c>
      <c r="P28" s="9">
        <f t="shared" si="18"/>
        <v>0.24101675722046828</v>
      </c>
    </row>
    <row r="30" spans="1:114" x14ac:dyDescent="0.2">
      <c r="B30" s="3" t="s">
        <v>36</v>
      </c>
      <c r="K30" s="3">
        <f>K31-K32</f>
        <v>55.120000000000005</v>
      </c>
      <c r="L30" s="3">
        <f>K30+L18</f>
        <v>17649.445104000002</v>
      </c>
      <c r="M30" s="3">
        <f t="shared" ref="M30:P30" si="19">L30+M18</f>
        <v>37541.63286165442</v>
      </c>
      <c r="N30" s="3">
        <f t="shared" si="19"/>
        <v>59931.579095895562</v>
      </c>
      <c r="O30" s="3">
        <f t="shared" si="19"/>
        <v>85033.751166642964</v>
      </c>
      <c r="P30" s="3">
        <f t="shared" si="19"/>
        <v>113078.15070025741</v>
      </c>
    </row>
    <row r="31" spans="1:114" x14ac:dyDescent="0.2">
      <c r="B31" s="3" t="s">
        <v>4</v>
      </c>
      <c r="K31" s="3">
        <f>20.1+31.53+7.4+27.86+6.03</f>
        <v>92.92</v>
      </c>
    </row>
    <row r="32" spans="1:114" x14ac:dyDescent="0.2">
      <c r="B32" s="3" t="s">
        <v>5</v>
      </c>
      <c r="K32" s="3">
        <f>6.7+6.9+16.9+4.9+2.4</f>
        <v>37.799999999999997</v>
      </c>
    </row>
    <row r="34" spans="2:2" x14ac:dyDescent="0.2">
      <c r="B34" s="3" t="s">
        <v>33</v>
      </c>
    </row>
    <row r="35" spans="2:2" x14ac:dyDescent="0.2">
      <c r="B35" s="3" t="s">
        <v>34</v>
      </c>
    </row>
    <row r="36" spans="2:2" x14ac:dyDescent="0.2">
      <c r="B36" s="3" t="s">
        <v>35</v>
      </c>
    </row>
  </sheetData>
  <hyperlinks>
    <hyperlink ref="A1" location="Main!A1" display="Main" xr:uid="{0A8A7B1D-A45F-4488-AE9E-A800C3D6364F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2025-05-24T00:44:03Z</dcterms:created>
  <dcterms:modified xsi:type="dcterms:W3CDTF">2025-05-24T06:50:58Z</dcterms:modified>
</cp:coreProperties>
</file>