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"/>
    </mc:Choice>
  </mc:AlternateContent>
  <xr:revisionPtr revIDLastSave="0" documentId="13_ncr:1_{40C2C7E0-1890-4F67-8FFF-C95AD809442E}" xr6:coauthVersionLast="47" xr6:coauthVersionMax="47" xr10:uidLastSave="{00000000-0000-0000-0000-000000000000}"/>
  <bookViews>
    <workbookView xWindow="645" yWindow="780" windowWidth="23670" windowHeight="14145" activeTab="1" xr2:uid="{8A65AD5F-1866-447A-AB16-0A0774236DA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8" i="2" l="1"/>
  <c r="Q28" i="2"/>
  <c r="O28" i="2"/>
  <c r="N28" i="2"/>
  <c r="M28" i="2"/>
  <c r="N30" i="2"/>
  <c r="O30" i="2"/>
  <c r="P30" i="2"/>
  <c r="Q30" i="2"/>
  <c r="N29" i="2"/>
  <c r="O29" i="2"/>
  <c r="P29" i="2"/>
  <c r="Q29" i="2"/>
  <c r="M29" i="2"/>
  <c r="M22" i="2"/>
  <c r="N22" i="2"/>
  <c r="L7" i="2"/>
  <c r="M3" i="2"/>
  <c r="N3" i="2"/>
  <c r="O3" i="2"/>
  <c r="L3" i="2"/>
  <c r="L20" i="2"/>
  <c r="L26" i="2"/>
  <c r="L25" i="2"/>
  <c r="L29" i="2"/>
  <c r="L28" i="2"/>
  <c r="L30" i="2" s="1"/>
  <c r="J30" i="2"/>
  <c r="K30" i="2"/>
  <c r="I30" i="2"/>
  <c r="M9" i="2"/>
  <c r="L6" i="2"/>
  <c r="L5" i="2"/>
  <c r="L4" i="2"/>
  <c r="M2" i="2"/>
  <c r="N2" i="2" s="1"/>
  <c r="J18" i="2"/>
  <c r="K18" i="2"/>
  <c r="I18" i="2"/>
  <c r="K16" i="2"/>
  <c r="L16" i="2"/>
  <c r="J16" i="2"/>
  <c r="J13" i="2"/>
  <c r="K13" i="2"/>
  <c r="I13" i="2"/>
  <c r="L14" i="2"/>
  <c r="M14" i="2"/>
  <c r="N14" i="2"/>
  <c r="O14" i="2" s="1"/>
  <c r="P14" i="2" s="1"/>
  <c r="Q14" i="2" s="1"/>
  <c r="J12" i="2"/>
  <c r="K12" i="2"/>
  <c r="I12" i="2"/>
  <c r="K9" i="2"/>
  <c r="J9" i="2"/>
  <c r="I9" i="2"/>
  <c r="L24" i="2"/>
  <c r="F24" i="2"/>
  <c r="E24" i="2"/>
  <c r="E26" i="2"/>
  <c r="J22" i="2"/>
  <c r="K22" i="2"/>
  <c r="I22" i="2"/>
  <c r="J21" i="2"/>
  <c r="K21" i="2"/>
  <c r="I21" i="2"/>
  <c r="J10" i="2"/>
  <c r="K10" i="2"/>
  <c r="I10" i="2"/>
  <c r="J8" i="2"/>
  <c r="K8" i="2"/>
  <c r="I8" i="2"/>
  <c r="J7" i="2"/>
  <c r="K7" i="2"/>
  <c r="I7" i="2"/>
  <c r="J20" i="2"/>
  <c r="K20" i="2"/>
  <c r="I20" i="2"/>
  <c r="J4" i="2"/>
  <c r="K4" i="2"/>
  <c r="I4" i="2"/>
  <c r="Q1" i="2"/>
  <c r="K1" i="2"/>
  <c r="L1" i="2"/>
  <c r="M1" i="2"/>
  <c r="N1" i="2"/>
  <c r="O1" i="2" s="1"/>
  <c r="P1" i="2" s="1"/>
  <c r="J1" i="2"/>
  <c r="D6" i="1"/>
  <c r="D7" i="1"/>
  <c r="D4" i="1"/>
  <c r="D3" i="1"/>
  <c r="M7" i="2" l="1"/>
  <c r="N7" i="2"/>
  <c r="M16" i="2"/>
  <c r="M30" i="2"/>
  <c r="L8" i="2"/>
  <c r="L21" i="2" s="1"/>
  <c r="M20" i="2"/>
  <c r="N20" i="2" s="1"/>
  <c r="O2" i="2"/>
  <c r="N16" i="2"/>
  <c r="L10" i="2"/>
  <c r="L11" i="2" s="1"/>
  <c r="P2" i="2"/>
  <c r="O16" i="2"/>
  <c r="Q3" i="2" l="1"/>
  <c r="P3" i="2"/>
  <c r="O7" i="2"/>
  <c r="L12" i="2"/>
  <c r="L13" i="2" s="1"/>
  <c r="Q2" i="2"/>
  <c r="P16" i="2"/>
  <c r="P7" i="2" l="1"/>
  <c r="Q16" i="2"/>
  <c r="M4" i="2"/>
  <c r="M8" i="2" s="1"/>
  <c r="Q7" i="2" l="1"/>
  <c r="M10" i="2"/>
  <c r="M21" i="2"/>
  <c r="M11" i="2" l="1"/>
  <c r="M12" i="2" s="1"/>
  <c r="M24" i="2" l="1"/>
  <c r="M13" i="2"/>
  <c r="N9" i="2" l="1"/>
  <c r="Q4" i="2"/>
  <c r="Q8" i="2" s="1"/>
  <c r="Q21" i="2" s="1"/>
  <c r="P4" i="2"/>
  <c r="P8" i="2" s="1"/>
  <c r="P21" i="2" s="1"/>
  <c r="O4" i="2"/>
  <c r="O8" i="2" s="1"/>
  <c r="N4" i="2"/>
  <c r="N8" i="2" s="1"/>
  <c r="N21" i="2" s="1"/>
  <c r="O21" i="2" l="1"/>
  <c r="N10" i="2"/>
  <c r="N11" i="2" l="1"/>
  <c r="N12" i="2" s="1"/>
  <c r="N24" i="2" l="1"/>
  <c r="N13" i="2"/>
  <c r="O9" i="2" l="1"/>
  <c r="O10" i="2" s="1"/>
  <c r="O11" i="2" l="1"/>
  <c r="O12" i="2" s="1"/>
  <c r="O13" i="2" l="1"/>
  <c r="O24" i="2"/>
  <c r="P9" i="2" l="1"/>
  <c r="P10" i="2" s="1"/>
  <c r="P11" i="2" l="1"/>
  <c r="P12" i="2" s="1"/>
  <c r="P13" i="2" l="1"/>
  <c r="P24" i="2"/>
  <c r="Q9" i="2" l="1"/>
  <c r="Q10" i="2" s="1"/>
  <c r="Q11" i="2" l="1"/>
  <c r="Q12" i="2"/>
  <c r="R30" i="2" l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AH30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BN30" i="2" s="1"/>
  <c r="BO30" i="2" s="1"/>
  <c r="BP30" i="2" s="1"/>
  <c r="BQ30" i="2" s="1"/>
  <c r="BR30" i="2" s="1"/>
  <c r="BS30" i="2" s="1"/>
  <c r="BT30" i="2" s="1"/>
  <c r="BU30" i="2" s="1"/>
  <c r="BV30" i="2" s="1"/>
  <c r="BW30" i="2" s="1"/>
  <c r="BX30" i="2" s="1"/>
  <c r="BY30" i="2" s="1"/>
  <c r="BZ30" i="2" s="1"/>
  <c r="CA30" i="2" s="1"/>
  <c r="CB30" i="2" s="1"/>
  <c r="CC30" i="2" s="1"/>
  <c r="CD30" i="2" s="1"/>
  <c r="CE30" i="2" s="1"/>
  <c r="CF30" i="2" s="1"/>
  <c r="CG30" i="2" s="1"/>
  <c r="CH30" i="2" s="1"/>
  <c r="CI30" i="2" s="1"/>
  <c r="CJ30" i="2" s="1"/>
  <c r="CK30" i="2" s="1"/>
  <c r="CL30" i="2" s="1"/>
  <c r="CM30" i="2" s="1"/>
  <c r="CN30" i="2" s="1"/>
  <c r="CO30" i="2" s="1"/>
  <c r="CP30" i="2" s="1"/>
  <c r="CQ30" i="2" s="1"/>
  <c r="CR30" i="2" s="1"/>
  <c r="CS30" i="2" s="1"/>
  <c r="CT30" i="2" s="1"/>
  <c r="CU30" i="2" s="1"/>
  <c r="CV30" i="2" s="1"/>
  <c r="CW30" i="2" s="1"/>
  <c r="CX30" i="2" s="1"/>
  <c r="CY30" i="2" s="1"/>
  <c r="CZ30" i="2" s="1"/>
  <c r="DA30" i="2" s="1"/>
  <c r="DB30" i="2" s="1"/>
  <c r="DC30" i="2" s="1"/>
  <c r="DD30" i="2" s="1"/>
  <c r="DE30" i="2" s="1"/>
  <c r="DF30" i="2" s="1"/>
  <c r="DG30" i="2" s="1"/>
  <c r="DH30" i="2" s="1"/>
  <c r="DI30" i="2" s="1"/>
  <c r="DJ30" i="2" s="1"/>
  <c r="DK30" i="2" s="1"/>
  <c r="Q13" i="2"/>
  <c r="Q24" i="2"/>
  <c r="T20" i="2" l="1"/>
  <c r="T21" i="2" s="1"/>
  <c r="T22" i="2" s="1"/>
</calcChain>
</file>

<file path=xl/sharedStrings.xml><?xml version="1.0" encoding="utf-8"?>
<sst xmlns="http://schemas.openxmlformats.org/spreadsheetml/2006/main" count="47" uniqueCount="40">
  <si>
    <t>EL</t>
  </si>
  <si>
    <t>Price</t>
  </si>
  <si>
    <t>Shares</t>
  </si>
  <si>
    <t>MC</t>
  </si>
  <si>
    <t>Cash</t>
  </si>
  <si>
    <t>Debt</t>
  </si>
  <si>
    <t>EV</t>
  </si>
  <si>
    <t>Q325</t>
  </si>
  <si>
    <t>Main</t>
  </si>
  <si>
    <t>Revenue</t>
  </si>
  <si>
    <t>Q425</t>
  </si>
  <si>
    <t>Q125</t>
  </si>
  <si>
    <t>Q225</t>
  </si>
  <si>
    <t>Q126</t>
  </si>
  <si>
    <t>COGS</t>
  </si>
  <si>
    <t>Gross Profit</t>
  </si>
  <si>
    <t>SG&amp;A</t>
  </si>
  <si>
    <t>Impairment</t>
  </si>
  <si>
    <t>Operating Expenses</t>
  </si>
  <si>
    <t>Operating Income</t>
  </si>
  <si>
    <t>Interest Income</t>
  </si>
  <si>
    <t>Pretax Income</t>
  </si>
  <si>
    <t>Tax</t>
  </si>
  <si>
    <t>Net Income</t>
  </si>
  <si>
    <t>EPS</t>
  </si>
  <si>
    <t>Revenue y/y</t>
  </si>
  <si>
    <t>Revenue q/q</t>
  </si>
  <si>
    <t>Tax Rate</t>
  </si>
  <si>
    <t>Gross Margin</t>
  </si>
  <si>
    <t>Operating Margin</t>
  </si>
  <si>
    <t>OPEX Margin</t>
  </si>
  <si>
    <t>Net Cash</t>
  </si>
  <si>
    <t>CFFO</t>
  </si>
  <si>
    <t>CX</t>
  </si>
  <si>
    <t>FCF</t>
  </si>
  <si>
    <t>ROIC</t>
  </si>
  <si>
    <t>Maturity</t>
  </si>
  <si>
    <t>Discount</t>
  </si>
  <si>
    <t>NPV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</si>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</sst>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1" applyNumberFormat="1"/>
    <xf numFmtId="3" fontId="1" fillId="0" borderId="0" xfId="0" applyNumberFormat="1" applyFont="1"/>
    <xf numFmtId="1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4" fontId="0" fillId="0" borderId="0" xfId="0" applyNumberFormat="1"/>
    <xf numFmtId="1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0</xdr:row>
      <xdr:rowOff>9525</xdr:rowOff>
    </xdr:from>
    <xdr:to>
      <xdr:col>5</xdr:col>
      <xdr:colOff>19050</xdr:colOff>
      <xdr:row>39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52E7C9F-DC30-6E8B-D432-9C928D8055EF}"/>
            </a:ext>
          </a:extLst>
        </xdr:cNvPr>
        <xdr:cNvCxnSpPr/>
      </xdr:nvCxnSpPr>
      <xdr:spPr>
        <a:xfrm>
          <a:off x="3057525" y="9525"/>
          <a:ext cx="28575" cy="70580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</xdr:colOff>
      <xdr:row>0</xdr:row>
      <xdr:rowOff>19050</xdr:rowOff>
    </xdr:from>
    <xdr:to>
      <xdr:col>12</xdr:col>
      <xdr:colOff>57150</xdr:colOff>
      <xdr:row>39</xdr:row>
      <xdr:rowOff>9525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1009960-C5A4-4B4A-9213-01CC0018FC84}"/>
            </a:ext>
          </a:extLst>
        </xdr:cNvPr>
        <xdr:cNvCxnSpPr/>
      </xdr:nvCxnSpPr>
      <xdr:spPr>
        <a:xfrm>
          <a:off x="7896225" y="19050"/>
          <a:ext cx="28575" cy="70580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F5013-981B-49A2-8AEE-1778B1EE71FD}">
  <dimension ref="A1:E7"/>
  <sheetViews>
    <sheetView zoomScale="205" zoomScaleNormal="205" workbookViewId="0">
      <selection activeCell="D3" sqref="D3"/>
    </sheetView>
  </sheetViews>
  <sheetFormatPr defaultRowHeight="14.25" x14ac:dyDescent="0.2"/>
  <sheetData>
    <row r="1" spans="1:5" ht="15" x14ac:dyDescent="0.25">
      <c r="A1" s="1" t="s">
        <v>0</v>
      </c>
    </row>
    <row r="2" spans="1:5" x14ac:dyDescent="0.2">
      <c r="C2" t="s">
        <v>1</v>
      </c>
      <c r="D2" s="2">
        <v>64</v>
      </c>
    </row>
    <row r="3" spans="1:5" x14ac:dyDescent="0.2">
      <c r="C3" t="s">
        <v>2</v>
      </c>
      <c r="D3" s="2">
        <f>233.177+125.542</f>
        <v>358.71899999999999</v>
      </c>
      <c r="E3" t="s">
        <v>7</v>
      </c>
    </row>
    <row r="4" spans="1:5" x14ac:dyDescent="0.2">
      <c r="C4" t="s">
        <v>3</v>
      </c>
      <c r="D4" s="2">
        <f>D3*D2</f>
        <v>22958.016</v>
      </c>
    </row>
    <row r="5" spans="1:5" x14ac:dyDescent="0.2">
      <c r="C5" t="s">
        <v>4</v>
      </c>
      <c r="D5" s="2">
        <v>3395</v>
      </c>
      <c r="E5" t="s">
        <v>7</v>
      </c>
    </row>
    <row r="6" spans="1:5" x14ac:dyDescent="0.2">
      <c r="C6" t="s">
        <v>5</v>
      </c>
      <c r="D6" s="2">
        <f>7267+1701+1693</f>
        <v>10661</v>
      </c>
      <c r="E6" t="s">
        <v>7</v>
      </c>
    </row>
    <row r="7" spans="1:5" x14ac:dyDescent="0.2">
      <c r="C7" t="s">
        <v>6</v>
      </c>
      <c r="D7" s="2">
        <f>D4+D6-D5</f>
        <v>30224.016000000003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506A1-8DD1-4E0C-A9DF-8CB243EE10CA}">
  <dimension ref="A1:DK31"/>
  <sheetViews>
    <sheetView tabSelected="1"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P28" sqref="P28"/>
    </sheetView>
  </sheetViews>
  <sheetFormatPr defaultRowHeight="14.25" x14ac:dyDescent="0.2"/>
  <cols>
    <col min="1" max="1" width="4.25" style="2" customWidth="1"/>
    <col min="2" max="2" width="17.625" style="2" customWidth="1"/>
    <col min="3" max="16384" width="9" style="2"/>
  </cols>
  <sheetData>
    <row r="1" spans="1:17" x14ac:dyDescent="0.2">
      <c r="A1" s="3" t="s">
        <v>8</v>
      </c>
      <c r="C1" s="2" t="s">
        <v>11</v>
      </c>
      <c r="D1" s="2" t="s">
        <v>12</v>
      </c>
      <c r="E1" s="2" t="s">
        <v>7</v>
      </c>
      <c r="F1" s="2" t="s">
        <v>10</v>
      </c>
      <c r="G1" s="2" t="s">
        <v>13</v>
      </c>
      <c r="I1" s="5">
        <v>2022</v>
      </c>
      <c r="J1" s="5">
        <f>I1+1</f>
        <v>2023</v>
      </c>
      <c r="K1" s="5">
        <f t="shared" ref="K1:Q1" si="0">J1+1</f>
        <v>2024</v>
      </c>
      <c r="L1" s="5">
        <f t="shared" si="0"/>
        <v>2025</v>
      </c>
      <c r="M1" s="5">
        <f t="shared" si="0"/>
        <v>2026</v>
      </c>
      <c r="N1" s="5">
        <f t="shared" si="0"/>
        <v>2027</v>
      </c>
      <c r="O1" s="5">
        <f t="shared" si="0"/>
        <v>2028</v>
      </c>
      <c r="P1" s="5">
        <f t="shared" si="0"/>
        <v>2029</v>
      </c>
      <c r="Q1" s="5">
        <f t="shared" si="0"/>
        <v>2030</v>
      </c>
    </row>
    <row r="2" spans="1:17" s="4" customFormat="1" ht="15" x14ac:dyDescent="0.25">
      <c r="A2" s="2"/>
      <c r="B2" s="4" t="s">
        <v>9</v>
      </c>
      <c r="I2" s="4">
        <v>17737</v>
      </c>
      <c r="J2" s="4">
        <v>15910</v>
      </c>
      <c r="K2" s="4">
        <v>15608</v>
      </c>
      <c r="L2" s="4">
        <v>14400</v>
      </c>
      <c r="M2" s="4">
        <f>L2*1.061</f>
        <v>15278.4</v>
      </c>
      <c r="N2" s="4">
        <f t="shared" ref="N2:Q2" si="1">M2*1.061</f>
        <v>16210.382399999999</v>
      </c>
      <c r="O2" s="4">
        <f t="shared" si="1"/>
        <v>17199.215726399998</v>
      </c>
      <c r="P2" s="4">
        <f t="shared" si="1"/>
        <v>18248.367885710395</v>
      </c>
      <c r="Q2" s="4">
        <f t="shared" si="1"/>
        <v>19361.518326738729</v>
      </c>
    </row>
    <row r="3" spans="1:17" x14ac:dyDescent="0.2">
      <c r="B3" s="2" t="s">
        <v>14</v>
      </c>
      <c r="I3" s="2">
        <v>4305</v>
      </c>
      <c r="J3" s="2">
        <v>4564</v>
      </c>
      <c r="K3" s="2">
        <v>4424</v>
      </c>
      <c r="L3" s="2">
        <f>L2*(1-L20)</f>
        <v>3978.4151717068166</v>
      </c>
      <c r="M3" s="2">
        <f t="shared" ref="M3:Q3" si="2">M2*(1-M20)</f>
        <v>4110.5254821527415</v>
      </c>
      <c r="N3" s="2">
        <f t="shared" si="2"/>
        <v>4242.776387929699</v>
      </c>
      <c r="O3" s="2">
        <f t="shared" si="2"/>
        <v>4471.796088864</v>
      </c>
      <c r="P3" s="2">
        <f t="shared" si="2"/>
        <v>4744.5756502847025</v>
      </c>
      <c r="Q3" s="2">
        <f t="shared" si="2"/>
        <v>5033.99476495207</v>
      </c>
    </row>
    <row r="4" spans="1:17" x14ac:dyDescent="0.2">
      <c r="B4" s="2" t="s">
        <v>15</v>
      </c>
      <c r="I4" s="2">
        <f>I2-I3</f>
        <v>13432</v>
      </c>
      <c r="J4" s="2">
        <f t="shared" ref="J4:K4" si="3">J2-J3</f>
        <v>11346</v>
      </c>
      <c r="K4" s="2">
        <f t="shared" si="3"/>
        <v>11184</v>
      </c>
      <c r="L4" s="2">
        <f t="shared" ref="L4" si="4">L2-L3</f>
        <v>10421.584828293184</v>
      </c>
      <c r="M4" s="2">
        <f t="shared" ref="M4" si="5">M2-M3</f>
        <v>11167.874517847258</v>
      </c>
      <c r="N4" s="2">
        <f t="shared" ref="N4" si="6">N2-N3</f>
        <v>11967.6060120703</v>
      </c>
      <c r="O4" s="2">
        <f t="shared" ref="O4" si="7">O2-O3</f>
        <v>12727.419637535997</v>
      </c>
      <c r="P4" s="2">
        <f t="shared" ref="P4:Q4" si="8">P2-P3</f>
        <v>13503.792235425692</v>
      </c>
      <c r="Q4" s="2">
        <f t="shared" si="8"/>
        <v>14327.52356178666</v>
      </c>
    </row>
    <row r="5" spans="1:17" x14ac:dyDescent="0.2">
      <c r="B5" s="2" t="s">
        <v>16</v>
      </c>
      <c r="I5" s="2">
        <v>9888</v>
      </c>
      <c r="J5" s="2">
        <v>9575</v>
      </c>
      <c r="K5" s="2">
        <v>9621</v>
      </c>
      <c r="L5" s="2">
        <f>SUM(C5:F5)</f>
        <v>0</v>
      </c>
    </row>
    <row r="6" spans="1:17" x14ac:dyDescent="0.2">
      <c r="B6" s="2" t="s">
        <v>17</v>
      </c>
      <c r="I6" s="2">
        <v>241</v>
      </c>
      <c r="J6" s="2">
        <v>207</v>
      </c>
      <c r="K6" s="2">
        <v>180</v>
      </c>
      <c r="L6" s="2">
        <f>SUM(C6:F6)</f>
        <v>0</v>
      </c>
    </row>
    <row r="7" spans="1:17" x14ac:dyDescent="0.2">
      <c r="B7" s="2" t="s">
        <v>18</v>
      </c>
      <c r="I7" s="2">
        <f>SUM(I5:I6)</f>
        <v>10129</v>
      </c>
      <c r="J7" s="2">
        <f t="shared" ref="J7:K7" si="9">SUM(J5:J6)</f>
        <v>9782</v>
      </c>
      <c r="K7" s="2">
        <f t="shared" si="9"/>
        <v>9801</v>
      </c>
      <c r="L7" s="2">
        <f>L2*(1+(L22-1))</f>
        <v>9072</v>
      </c>
      <c r="M7" s="2">
        <f t="shared" ref="M7:Q7" si="10">M2*(1+(M22-1))</f>
        <v>9240.3763199999994</v>
      </c>
      <c r="N7" s="2">
        <f t="shared" si="10"/>
        <v>9313.8373117439987</v>
      </c>
      <c r="O7" s="2">
        <f t="shared" si="10"/>
        <v>9803.5529640479981</v>
      </c>
      <c r="P7" s="2">
        <f t="shared" si="10"/>
        <v>10401.569694854925</v>
      </c>
      <c r="Q7" s="2">
        <f t="shared" si="10"/>
        <v>11036.065446241075</v>
      </c>
    </row>
    <row r="8" spans="1:17" x14ac:dyDescent="0.2">
      <c r="B8" s="2" t="s">
        <v>19</v>
      </c>
      <c r="I8" s="2">
        <f>I4-I7</f>
        <v>3303</v>
      </c>
      <c r="J8" s="2">
        <f t="shared" ref="J8:Q8" si="11">J4-J7</f>
        <v>1564</v>
      </c>
      <c r="K8" s="2">
        <f t="shared" si="11"/>
        <v>1383</v>
      </c>
      <c r="L8" s="2">
        <f t="shared" si="11"/>
        <v>1349.5848282931838</v>
      </c>
      <c r="M8" s="2">
        <f t="shared" si="11"/>
        <v>1927.4981978472588</v>
      </c>
      <c r="N8" s="2">
        <f t="shared" si="11"/>
        <v>2653.7687003263018</v>
      </c>
      <c r="O8" s="2">
        <f t="shared" si="11"/>
        <v>2923.8666734879989</v>
      </c>
      <c r="P8" s="2">
        <f t="shared" si="11"/>
        <v>3102.2225405707668</v>
      </c>
      <c r="Q8" s="2">
        <f t="shared" si="11"/>
        <v>3291.4581155455853</v>
      </c>
    </row>
    <row r="9" spans="1:17" x14ac:dyDescent="0.2">
      <c r="B9" s="2" t="s">
        <v>20</v>
      </c>
      <c r="I9" s="2">
        <f>30-167</f>
        <v>-137</v>
      </c>
      <c r="J9" s="2">
        <f>131-255</f>
        <v>-124</v>
      </c>
      <c r="K9" s="2">
        <f>167-378</f>
        <v>-211</v>
      </c>
      <c r="L9" s="2">
        <v>-300</v>
      </c>
      <c r="M9" s="2">
        <f>L24*$T$17</f>
        <v>-435.96</v>
      </c>
      <c r="N9" s="2">
        <f t="shared" ref="N9:Q9" si="12">M24*$T$17</f>
        <v>-365.2610894220399</v>
      </c>
      <c r="O9" s="2">
        <f t="shared" si="12"/>
        <v>-256.78582866517786</v>
      </c>
      <c r="P9" s="2">
        <f t="shared" si="12"/>
        <v>-130.36619662057618</v>
      </c>
      <c r="Q9" s="2">
        <f t="shared" si="12"/>
        <v>10.499794082662865</v>
      </c>
    </row>
    <row r="10" spans="1:17" x14ac:dyDescent="0.2">
      <c r="B10" s="2" t="s">
        <v>21</v>
      </c>
      <c r="I10" s="2">
        <f>I8+I9</f>
        <v>3166</v>
      </c>
      <c r="J10" s="2">
        <f t="shared" ref="J10:Q10" si="13">J8+J9</f>
        <v>1440</v>
      </c>
      <c r="K10" s="2">
        <f t="shared" si="13"/>
        <v>1172</v>
      </c>
      <c r="L10" s="2">
        <f t="shared" si="13"/>
        <v>1049.5848282931838</v>
      </c>
      <c r="M10" s="2">
        <f t="shared" si="13"/>
        <v>1491.5381978472587</v>
      </c>
      <c r="N10" s="2">
        <f t="shared" si="13"/>
        <v>2288.507610904262</v>
      </c>
      <c r="O10" s="2">
        <f t="shared" si="13"/>
        <v>2667.0808448228208</v>
      </c>
      <c r="P10" s="2">
        <f t="shared" si="13"/>
        <v>2971.8563439501904</v>
      </c>
      <c r="Q10" s="2">
        <f t="shared" si="13"/>
        <v>3301.9579096282482</v>
      </c>
    </row>
    <row r="11" spans="1:17" x14ac:dyDescent="0.2">
      <c r="B11" s="2" t="s">
        <v>22</v>
      </c>
      <c r="I11" s="2">
        <v>628</v>
      </c>
      <c r="J11" s="2">
        <v>387</v>
      </c>
      <c r="K11" s="2">
        <v>363</v>
      </c>
      <c r="L11" s="2">
        <f>L10*L18</f>
        <v>325.371296770887</v>
      </c>
      <c r="M11" s="2">
        <f>M10*M18</f>
        <v>313.2230215479243</v>
      </c>
      <c r="N11" s="2">
        <f t="shared" ref="N11:Q11" si="14">N10*N18</f>
        <v>480.58659828989499</v>
      </c>
      <c r="O11" s="2">
        <f t="shared" si="14"/>
        <v>560.08697741279241</v>
      </c>
      <c r="P11" s="2">
        <f t="shared" si="14"/>
        <v>624.08983222953998</v>
      </c>
      <c r="Q11" s="2">
        <f t="shared" si="14"/>
        <v>693.41116102193212</v>
      </c>
    </row>
    <row r="12" spans="1:17" s="4" customFormat="1" ht="15" x14ac:dyDescent="0.25">
      <c r="A12" s="2"/>
      <c r="B12" s="4" t="s">
        <v>23</v>
      </c>
      <c r="I12" s="4">
        <f>I10-I11</f>
        <v>2538</v>
      </c>
      <c r="J12" s="4">
        <f t="shared" ref="J12:Q12" si="15">J10-J11</f>
        <v>1053</v>
      </c>
      <c r="K12" s="4">
        <f t="shared" si="15"/>
        <v>809</v>
      </c>
      <c r="L12" s="4">
        <f t="shared" si="15"/>
        <v>724.21353152229676</v>
      </c>
      <c r="M12" s="4">
        <f t="shared" si="15"/>
        <v>1178.3151762993343</v>
      </c>
      <c r="N12" s="4">
        <f t="shared" si="15"/>
        <v>1807.9210126143671</v>
      </c>
      <c r="O12" s="4">
        <f t="shared" si="15"/>
        <v>2106.9938674100285</v>
      </c>
      <c r="P12" s="4">
        <f t="shared" si="15"/>
        <v>2347.7665117206507</v>
      </c>
      <c r="Q12" s="4">
        <f t="shared" si="15"/>
        <v>2608.5467486063162</v>
      </c>
    </row>
    <row r="13" spans="1:17" x14ac:dyDescent="0.2">
      <c r="B13" s="2" t="s">
        <v>24</v>
      </c>
      <c r="I13" s="8">
        <f>I12/I14</f>
        <v>6.9534246575342467</v>
      </c>
      <c r="J13" s="8">
        <f t="shared" ref="J13:Q13" si="16">J12/J14</f>
        <v>2.9168975069252077</v>
      </c>
      <c r="K13" s="8">
        <f t="shared" si="16"/>
        <v>2.2409972299168976</v>
      </c>
      <c r="L13" s="8">
        <f t="shared" si="16"/>
        <v>2.0188881311619871</v>
      </c>
      <c r="M13" s="8">
        <f t="shared" si="16"/>
        <v>3.3179657330593235</v>
      </c>
      <c r="N13" s="8">
        <f t="shared" si="16"/>
        <v>5.1422677146961666</v>
      </c>
      <c r="O13" s="8">
        <f t="shared" si="16"/>
        <v>6.0534548496873066</v>
      </c>
      <c r="P13" s="8">
        <f t="shared" si="16"/>
        <v>6.8133350313121763</v>
      </c>
      <c r="Q13" s="8">
        <f t="shared" si="16"/>
        <v>7.6465982139298179</v>
      </c>
    </row>
    <row r="14" spans="1:17" x14ac:dyDescent="0.2">
      <c r="B14" s="2" t="s">
        <v>2</v>
      </c>
      <c r="I14" s="2">
        <v>365</v>
      </c>
      <c r="J14" s="2">
        <v>361</v>
      </c>
      <c r="K14" s="2">
        <v>361</v>
      </c>
      <c r="L14" s="2">
        <f>233.177+125.542</f>
        <v>358.71899999999999</v>
      </c>
      <c r="M14" s="2">
        <f t="shared" ref="M14:Q14" si="17">L14*0.99</f>
        <v>355.13180999999997</v>
      </c>
      <c r="N14" s="2">
        <f t="shared" si="17"/>
        <v>351.58049189999997</v>
      </c>
      <c r="O14" s="2">
        <f t="shared" si="17"/>
        <v>348.06468698099997</v>
      </c>
      <c r="P14" s="2">
        <f t="shared" si="17"/>
        <v>344.58404011118995</v>
      </c>
      <c r="Q14" s="2">
        <f t="shared" si="17"/>
        <v>341.13819971007803</v>
      </c>
    </row>
    <row r="16" spans="1:17" s="4" customFormat="1" ht="15" x14ac:dyDescent="0.25">
      <c r="A16" s="2"/>
      <c r="B16" s="4" t="s">
        <v>25</v>
      </c>
      <c r="J16" s="6">
        <f>J2/I2-1</f>
        <v>-0.10300501775948578</v>
      </c>
      <c r="K16" s="6">
        <f t="shared" ref="K16:Q16" si="18">K2/J2-1</f>
        <v>-1.8981772470144542E-2</v>
      </c>
      <c r="L16" s="6">
        <f t="shared" si="18"/>
        <v>-7.7396207073295753E-2</v>
      </c>
      <c r="M16" s="6">
        <f t="shared" si="18"/>
        <v>6.0999999999999943E-2</v>
      </c>
      <c r="N16" s="6">
        <f t="shared" si="18"/>
        <v>6.0999999999999943E-2</v>
      </c>
      <c r="O16" s="6">
        <f t="shared" si="18"/>
        <v>6.0999999999999943E-2</v>
      </c>
      <c r="P16" s="6">
        <f t="shared" si="18"/>
        <v>6.0999999999999943E-2</v>
      </c>
      <c r="Q16" s="6">
        <f t="shared" si="18"/>
        <v>6.0999999999999943E-2</v>
      </c>
    </row>
    <row r="17" spans="1:115" x14ac:dyDescent="0.2">
      <c r="B17" s="2" t="s">
        <v>26</v>
      </c>
      <c r="S17" s="2" t="s">
        <v>35</v>
      </c>
      <c r="T17" s="9">
        <v>0.06</v>
      </c>
    </row>
    <row r="18" spans="1:115" x14ac:dyDescent="0.2">
      <c r="B18" s="2" t="s">
        <v>27</v>
      </c>
      <c r="I18" s="7">
        <f>I11/I10</f>
        <v>0.19835754895767529</v>
      </c>
      <c r="J18" s="7">
        <f t="shared" ref="J18:K18" si="19">J11/J10</f>
        <v>0.26874999999999999</v>
      </c>
      <c r="K18" s="7">
        <f t="shared" si="19"/>
        <v>0.30972696245733788</v>
      </c>
      <c r="L18" s="7">
        <v>0.31</v>
      </c>
      <c r="M18" s="7">
        <v>0.21</v>
      </c>
      <c r="N18" s="7">
        <v>0.21</v>
      </c>
      <c r="O18" s="7">
        <v>0.21</v>
      </c>
      <c r="P18" s="7">
        <v>0.21</v>
      </c>
      <c r="Q18" s="7">
        <v>0.21</v>
      </c>
      <c r="S18" s="2" t="s">
        <v>36</v>
      </c>
      <c r="T18" s="9">
        <v>0.01</v>
      </c>
    </row>
    <row r="19" spans="1:115" x14ac:dyDescent="0.2">
      <c r="S19" s="2" t="s">
        <v>37</v>
      </c>
      <c r="T19" s="9">
        <v>7.4999999999999997E-2</v>
      </c>
    </row>
    <row r="20" spans="1:115" s="4" customFormat="1" ht="15" x14ac:dyDescent="0.25">
      <c r="A20" s="2"/>
      <c r="B20" s="4" t="s">
        <v>28</v>
      </c>
      <c r="I20" s="6">
        <f>I4/I2</f>
        <v>0.75728702711845297</v>
      </c>
      <c r="J20" s="6">
        <f t="shared" ref="J20:K20" si="20">J4/J2</f>
        <v>0.71313639220615965</v>
      </c>
      <c r="K20" s="6">
        <f t="shared" si="20"/>
        <v>0.71655561250640698</v>
      </c>
      <c r="L20" s="6">
        <f>K20*1.01</f>
        <v>0.72372116863147107</v>
      </c>
      <c r="M20" s="6">
        <f>L20*1.01</f>
        <v>0.73095838031778582</v>
      </c>
      <c r="N20" s="6">
        <f t="shared" ref="N20" si="21">M20*1.01</f>
        <v>0.73826796412096363</v>
      </c>
      <c r="O20" s="6">
        <v>0.74</v>
      </c>
      <c r="P20" s="6">
        <v>0.74</v>
      </c>
      <c r="Q20" s="6">
        <v>0.74</v>
      </c>
      <c r="S20" s="4" t="s">
        <v>38</v>
      </c>
      <c r="T20" s="4">
        <f>NPV(T19,M30:XFD30)+Main!D5-Main!D6</f>
        <v>31417.730926822071</v>
      </c>
    </row>
    <row r="21" spans="1:115" x14ac:dyDescent="0.2">
      <c r="B21" s="2" t="s">
        <v>29</v>
      </c>
      <c r="I21" s="7">
        <f>I8/I2</f>
        <v>0.18622089417601623</v>
      </c>
      <c r="J21" s="7">
        <f t="shared" ref="J21:Q21" si="22">J8/J2</f>
        <v>9.8302954116907607E-2</v>
      </c>
      <c r="K21" s="7">
        <f t="shared" si="22"/>
        <v>8.8608405945668892E-2</v>
      </c>
      <c r="L21" s="7">
        <f t="shared" si="22"/>
        <v>9.3721168631471105E-2</v>
      </c>
      <c r="M21" s="7">
        <f t="shared" si="22"/>
        <v>0.12615838031778581</v>
      </c>
      <c r="N21" s="7">
        <f t="shared" si="22"/>
        <v>0.16370796412096372</v>
      </c>
      <c r="O21" s="7">
        <f t="shared" si="22"/>
        <v>0.16999999999999996</v>
      </c>
      <c r="P21" s="7">
        <f t="shared" si="22"/>
        <v>0.16999999999999998</v>
      </c>
      <c r="Q21" s="7">
        <f t="shared" si="22"/>
        <v>0.17000000000000007</v>
      </c>
      <c r="S21" s="2" t="s">
        <v>1</v>
      </c>
      <c r="T21" s="2">
        <f>T20/Main!D3</f>
        <v>87.58312474895969</v>
      </c>
    </row>
    <row r="22" spans="1:115" x14ac:dyDescent="0.2">
      <c r="B22" s="2" t="s">
        <v>30</v>
      </c>
      <c r="I22" s="7">
        <f>I7/I2</f>
        <v>0.57106613294243669</v>
      </c>
      <c r="J22" s="7">
        <f t="shared" ref="J22:K22" si="23">J7/J2</f>
        <v>0.61483343808925206</v>
      </c>
      <c r="K22" s="7">
        <f t="shared" si="23"/>
        <v>0.6279472065607381</v>
      </c>
      <c r="L22" s="7">
        <v>0.63</v>
      </c>
      <c r="M22" s="7">
        <f>L22*0.96</f>
        <v>0.6048</v>
      </c>
      <c r="N22" s="7">
        <f t="shared" ref="N22" si="24">M22*0.95</f>
        <v>0.57455999999999996</v>
      </c>
      <c r="O22" s="7">
        <v>0.56999999999999995</v>
      </c>
      <c r="P22" s="7">
        <v>0.56999999999999995</v>
      </c>
      <c r="Q22" s="7">
        <v>0.56999999999999995</v>
      </c>
      <c r="S22" s="2" t="s">
        <v>39</v>
      </c>
      <c r="T22" s="7">
        <f>T21/Main!D2-1</f>
        <v>0.36848632420249516</v>
      </c>
    </row>
    <row r="24" spans="1:115" x14ac:dyDescent="0.2">
      <c r="B24" s="2" t="s">
        <v>31</v>
      </c>
      <c r="E24" s="2">
        <f>E25-E26</f>
        <v>-7266</v>
      </c>
      <c r="F24" s="2">
        <f>E24+F12</f>
        <v>-7266</v>
      </c>
      <c r="L24" s="2">
        <f>F24</f>
        <v>-7266</v>
      </c>
      <c r="M24" s="2">
        <f>L24+M12</f>
        <v>-6087.6848237006652</v>
      </c>
      <c r="N24" s="2">
        <f t="shared" ref="N24:Q24" si="25">M24+N12</f>
        <v>-4279.7638110862981</v>
      </c>
      <c r="O24" s="2">
        <f t="shared" si="25"/>
        <v>-2172.7699436762696</v>
      </c>
      <c r="P24" s="2">
        <f t="shared" si="25"/>
        <v>174.99656804438109</v>
      </c>
      <c r="Q24" s="2">
        <f t="shared" si="25"/>
        <v>2783.5433166506973</v>
      </c>
    </row>
    <row r="25" spans="1:115" x14ac:dyDescent="0.2">
      <c r="B25" s="2" t="s">
        <v>4</v>
      </c>
      <c r="E25" s="2">
        <v>3395</v>
      </c>
      <c r="L25" s="2">
        <f>F25</f>
        <v>0</v>
      </c>
    </row>
    <row r="26" spans="1:115" x14ac:dyDescent="0.2">
      <c r="B26" s="2" t="s">
        <v>5</v>
      </c>
      <c r="E26" s="2">
        <f>7267+1701+1693</f>
        <v>10661</v>
      </c>
      <c r="L26" s="2">
        <f>F26</f>
        <v>0</v>
      </c>
    </row>
    <row r="27" spans="1:115" x14ac:dyDescent="0.2">
      <c r="I27" s="7"/>
      <c r="J27" s="7"/>
      <c r="K27" s="7"/>
    </row>
    <row r="28" spans="1:115" x14ac:dyDescent="0.2">
      <c r="B28" s="2" t="s">
        <v>32</v>
      </c>
      <c r="I28" s="2">
        <v>3040</v>
      </c>
      <c r="J28" s="2">
        <v>1731</v>
      </c>
      <c r="K28" s="2">
        <v>2360</v>
      </c>
      <c r="L28" s="2">
        <f>L2*0.17</f>
        <v>2448</v>
      </c>
      <c r="M28" s="2">
        <f>M2*0.18</f>
        <v>2750.1119999999996</v>
      </c>
      <c r="N28" s="2">
        <f t="shared" ref="N28:Q28" si="26">N2*0.18</f>
        <v>2917.8688319999997</v>
      </c>
      <c r="O28" s="2">
        <f>O2*0.19</f>
        <v>3267.8509880159995</v>
      </c>
      <c r="P28" s="2">
        <f t="shared" ref="P28:Q28" si="27">P2*0.19</f>
        <v>3467.1898982849752</v>
      </c>
      <c r="Q28" s="2">
        <f t="shared" si="27"/>
        <v>3678.6884820803584</v>
      </c>
    </row>
    <row r="29" spans="1:115" x14ac:dyDescent="0.2">
      <c r="B29" s="2" t="s">
        <v>33</v>
      </c>
      <c r="I29" s="2">
        <v>1040</v>
      </c>
      <c r="J29" s="2">
        <v>1003</v>
      </c>
      <c r="K29" s="2">
        <v>919</v>
      </c>
      <c r="L29" s="2">
        <f>L2*0.058</f>
        <v>835.2</v>
      </c>
      <c r="M29" s="2">
        <f>M2*0.05</f>
        <v>763.92000000000007</v>
      </c>
      <c r="N29" s="2">
        <f t="shared" ref="N29:Q29" si="28">N2*0.05</f>
        <v>810.51911999999993</v>
      </c>
      <c r="O29" s="2">
        <f t="shared" si="28"/>
        <v>859.9607863199999</v>
      </c>
      <c r="P29" s="2">
        <f t="shared" si="28"/>
        <v>912.41839428551975</v>
      </c>
      <c r="Q29" s="2">
        <f t="shared" si="28"/>
        <v>968.07591633693653</v>
      </c>
    </row>
    <row r="30" spans="1:115" s="4" customFormat="1" ht="15" x14ac:dyDescent="0.25">
      <c r="A30" s="2"/>
      <c r="B30" s="4" t="s">
        <v>34</v>
      </c>
      <c r="I30" s="4">
        <f>I28-I29</f>
        <v>2000</v>
      </c>
      <c r="J30" s="4">
        <f t="shared" ref="J30:K30" si="29">J28-J29</f>
        <v>728</v>
      </c>
      <c r="K30" s="4">
        <f t="shared" si="29"/>
        <v>1441</v>
      </c>
      <c r="L30" s="4">
        <f t="shared" ref="L30" si="30">L28-L29</f>
        <v>1612.8</v>
      </c>
      <c r="M30" s="4">
        <f t="shared" ref="M30:Q30" si="31">M28-M29</f>
        <v>1986.1919999999996</v>
      </c>
      <c r="N30" s="4">
        <f t="shared" si="31"/>
        <v>2107.3497119999997</v>
      </c>
      <c r="O30" s="4">
        <f t="shared" si="31"/>
        <v>2407.8902016959996</v>
      </c>
      <c r="P30" s="4">
        <f t="shared" si="31"/>
        <v>2554.7715039994555</v>
      </c>
      <c r="Q30" s="4">
        <f t="shared" si="31"/>
        <v>2710.6125657434218</v>
      </c>
      <c r="R30" s="4">
        <f>Q30*(1+$T$18)</f>
        <v>2737.7186914008562</v>
      </c>
      <c r="S30" s="4">
        <f t="shared" ref="S30:CD30" si="32">R30*(1+$T$18)</f>
        <v>2765.0958783148649</v>
      </c>
      <c r="T30" s="4">
        <f t="shared" si="32"/>
        <v>2792.7468370980137</v>
      </c>
      <c r="U30" s="4">
        <f t="shared" si="32"/>
        <v>2820.6743054689937</v>
      </c>
      <c r="V30" s="4">
        <f t="shared" si="32"/>
        <v>2848.8810485236836</v>
      </c>
      <c r="W30" s="4">
        <f t="shared" si="32"/>
        <v>2877.3698590089207</v>
      </c>
      <c r="X30" s="4">
        <f t="shared" si="32"/>
        <v>2906.1435575990099</v>
      </c>
      <c r="Y30" s="4">
        <f t="shared" si="32"/>
        <v>2935.2049931750003</v>
      </c>
      <c r="Z30" s="4">
        <f t="shared" si="32"/>
        <v>2964.5570431067504</v>
      </c>
      <c r="AA30" s="4">
        <f t="shared" si="32"/>
        <v>2994.2026135378178</v>
      </c>
      <c r="AB30" s="4">
        <f t="shared" si="32"/>
        <v>3024.1446396731958</v>
      </c>
      <c r="AC30" s="4">
        <f t="shared" si="32"/>
        <v>3054.3860860699278</v>
      </c>
      <c r="AD30" s="4">
        <f t="shared" si="32"/>
        <v>3084.929946930627</v>
      </c>
      <c r="AE30" s="4">
        <f t="shared" si="32"/>
        <v>3115.7792463999335</v>
      </c>
      <c r="AF30" s="4">
        <f t="shared" si="32"/>
        <v>3146.9370388639327</v>
      </c>
      <c r="AG30" s="4">
        <f t="shared" si="32"/>
        <v>3178.4064092525718</v>
      </c>
      <c r="AH30" s="4">
        <f t="shared" si="32"/>
        <v>3210.1904733450974</v>
      </c>
      <c r="AI30" s="4">
        <f t="shared" si="32"/>
        <v>3242.2923780785486</v>
      </c>
      <c r="AJ30" s="4">
        <f t="shared" si="32"/>
        <v>3274.715301859334</v>
      </c>
      <c r="AK30" s="4">
        <f t="shared" si="32"/>
        <v>3307.4624548779275</v>
      </c>
      <c r="AL30" s="4">
        <f t="shared" si="32"/>
        <v>3340.5370794267069</v>
      </c>
      <c r="AM30" s="4">
        <f t="shared" si="32"/>
        <v>3373.942450220974</v>
      </c>
      <c r="AN30" s="4">
        <f t="shared" si="32"/>
        <v>3407.6818747231837</v>
      </c>
      <c r="AO30" s="4">
        <f t="shared" si="32"/>
        <v>3441.7586934704154</v>
      </c>
      <c r="AP30" s="4">
        <f t="shared" si="32"/>
        <v>3476.1762804051195</v>
      </c>
      <c r="AQ30" s="4">
        <f t="shared" si="32"/>
        <v>3510.9380432091707</v>
      </c>
      <c r="AR30" s="4">
        <f t="shared" si="32"/>
        <v>3546.0474236412624</v>
      </c>
      <c r="AS30" s="4">
        <f t="shared" si="32"/>
        <v>3581.5078978776751</v>
      </c>
      <c r="AT30" s="4">
        <f t="shared" si="32"/>
        <v>3617.322976856452</v>
      </c>
      <c r="AU30" s="4">
        <f t="shared" si="32"/>
        <v>3653.4962066250164</v>
      </c>
      <c r="AV30" s="4">
        <f t="shared" si="32"/>
        <v>3690.0311686912664</v>
      </c>
      <c r="AW30" s="4">
        <f t="shared" si="32"/>
        <v>3726.931480378179</v>
      </c>
      <c r="AX30" s="4">
        <f t="shared" si="32"/>
        <v>3764.200795181961</v>
      </c>
      <c r="AY30" s="4">
        <f t="shared" si="32"/>
        <v>3801.8428031337808</v>
      </c>
      <c r="AZ30" s="4">
        <f t="shared" si="32"/>
        <v>3839.8612311651186</v>
      </c>
      <c r="BA30" s="4">
        <f t="shared" si="32"/>
        <v>3878.2598434767697</v>
      </c>
      <c r="BB30" s="4">
        <f t="shared" si="32"/>
        <v>3917.0424419115375</v>
      </c>
      <c r="BC30" s="4">
        <f t="shared" si="32"/>
        <v>3956.212866330653</v>
      </c>
      <c r="BD30" s="4">
        <f t="shared" si="32"/>
        <v>3995.7749949939594</v>
      </c>
      <c r="BE30" s="4">
        <f t="shared" si="32"/>
        <v>4035.732744943899</v>
      </c>
      <c r="BF30" s="4">
        <f t="shared" si="32"/>
        <v>4076.0900723933378</v>
      </c>
      <c r="BG30" s="4">
        <f t="shared" si="32"/>
        <v>4116.8509731172708</v>
      </c>
      <c r="BH30" s="4">
        <f t="shared" si="32"/>
        <v>4158.0194828484437</v>
      </c>
      <c r="BI30" s="4">
        <f t="shared" si="32"/>
        <v>4199.599677676928</v>
      </c>
      <c r="BJ30" s="4">
        <f t="shared" si="32"/>
        <v>4241.595674453697</v>
      </c>
      <c r="BK30" s="4">
        <f t="shared" si="32"/>
        <v>4284.0116311982338</v>
      </c>
      <c r="BL30" s="4">
        <f t="shared" si="32"/>
        <v>4326.8517475102162</v>
      </c>
      <c r="BM30" s="4">
        <f t="shared" si="32"/>
        <v>4370.1202649853185</v>
      </c>
      <c r="BN30" s="4">
        <f t="shared" si="32"/>
        <v>4413.8214676351718</v>
      </c>
      <c r="BO30" s="4">
        <f t="shared" si="32"/>
        <v>4457.9596823115235</v>
      </c>
      <c r="BP30" s="4">
        <f t="shared" si="32"/>
        <v>4502.5392791346385</v>
      </c>
      <c r="BQ30" s="4">
        <f t="shared" si="32"/>
        <v>4547.5646719259848</v>
      </c>
      <c r="BR30" s="4">
        <f t="shared" si="32"/>
        <v>4593.040318645245</v>
      </c>
      <c r="BS30" s="4">
        <f t="shared" si="32"/>
        <v>4638.9707218316971</v>
      </c>
      <c r="BT30" s="4">
        <f t="shared" si="32"/>
        <v>4685.3604290500143</v>
      </c>
      <c r="BU30" s="4">
        <f t="shared" si="32"/>
        <v>4732.2140333405141</v>
      </c>
      <c r="BV30" s="4">
        <f t="shared" si="32"/>
        <v>4779.5361736739196</v>
      </c>
      <c r="BW30" s="4">
        <f t="shared" si="32"/>
        <v>4827.3315354106589</v>
      </c>
      <c r="BX30" s="4">
        <f t="shared" si="32"/>
        <v>4875.6048507647656</v>
      </c>
      <c r="BY30" s="4">
        <f t="shared" si="32"/>
        <v>4924.360899272413</v>
      </c>
      <c r="BZ30" s="4">
        <f t="shared" si="32"/>
        <v>4973.6045082651372</v>
      </c>
      <c r="CA30" s="4">
        <f t="shared" si="32"/>
        <v>5023.340553347789</v>
      </c>
      <c r="CB30" s="4">
        <f t="shared" si="32"/>
        <v>5073.5739588812667</v>
      </c>
      <c r="CC30" s="4">
        <f t="shared" si="32"/>
        <v>5124.3096984700796</v>
      </c>
      <c r="CD30" s="4">
        <f t="shared" si="32"/>
        <v>5175.5527954547806</v>
      </c>
      <c r="CE30" s="4">
        <f t="shared" ref="CE30:DK30" si="33">CD30*(1+$T$18)</f>
        <v>5227.3083234093283</v>
      </c>
      <c r="CF30" s="4">
        <f t="shared" si="33"/>
        <v>5279.5814066434214</v>
      </c>
      <c r="CG30" s="4">
        <f t="shared" si="33"/>
        <v>5332.3772207098555</v>
      </c>
      <c r="CH30" s="4">
        <f t="shared" si="33"/>
        <v>5385.7009929169544</v>
      </c>
      <c r="CI30" s="4">
        <f t="shared" si="33"/>
        <v>5439.5580028461236</v>
      </c>
      <c r="CJ30" s="4">
        <f t="shared" si="33"/>
        <v>5493.9535828745848</v>
      </c>
      <c r="CK30" s="4">
        <f t="shared" si="33"/>
        <v>5548.8931187033304</v>
      </c>
      <c r="CL30" s="4">
        <f t="shared" si="33"/>
        <v>5604.3820498903633</v>
      </c>
      <c r="CM30" s="4">
        <f t="shared" si="33"/>
        <v>5660.4258703892674</v>
      </c>
      <c r="CN30" s="4">
        <f t="shared" si="33"/>
        <v>5717.0301290931602</v>
      </c>
      <c r="CO30" s="4">
        <f t="shared" si="33"/>
        <v>5774.2004303840922</v>
      </c>
      <c r="CP30" s="4">
        <f t="shared" si="33"/>
        <v>5831.9424346879332</v>
      </c>
      <c r="CQ30" s="4">
        <f t="shared" si="33"/>
        <v>5890.2618590348129</v>
      </c>
      <c r="CR30" s="4">
        <f t="shared" si="33"/>
        <v>5949.1644776251615</v>
      </c>
      <c r="CS30" s="4">
        <f t="shared" si="33"/>
        <v>6008.6561224014131</v>
      </c>
      <c r="CT30" s="4">
        <f t="shared" si="33"/>
        <v>6068.7426836254272</v>
      </c>
      <c r="CU30" s="4">
        <f t="shared" si="33"/>
        <v>6129.4301104616816</v>
      </c>
      <c r="CV30" s="4">
        <f t="shared" si="33"/>
        <v>6190.7244115662988</v>
      </c>
      <c r="CW30" s="4">
        <f t="shared" si="33"/>
        <v>6252.631655681962</v>
      </c>
      <c r="CX30" s="4">
        <f t="shared" si="33"/>
        <v>6315.1579722387814</v>
      </c>
      <c r="CY30" s="4">
        <f t="shared" si="33"/>
        <v>6378.3095519611697</v>
      </c>
      <c r="CZ30" s="4">
        <f t="shared" si="33"/>
        <v>6442.0926474807811</v>
      </c>
      <c r="DA30" s="4">
        <f t="shared" si="33"/>
        <v>6506.513573955589</v>
      </c>
      <c r="DB30" s="4">
        <f t="shared" si="33"/>
        <v>6571.5787096951453</v>
      </c>
      <c r="DC30" s="4">
        <f t="shared" si="33"/>
        <v>6637.2944967920967</v>
      </c>
      <c r="DD30" s="4">
        <f t="shared" si="33"/>
        <v>6703.6674417600179</v>
      </c>
      <c r="DE30" s="4">
        <f t="shared" si="33"/>
        <v>6770.7041161776178</v>
      </c>
      <c r="DF30" s="4">
        <f t="shared" si="33"/>
        <v>6838.4111573393939</v>
      </c>
      <c r="DG30" s="4">
        <f t="shared" si="33"/>
        <v>6906.7952689127878</v>
      </c>
      <c r="DH30" s="4">
        <f t="shared" si="33"/>
        <v>6975.8632216019159</v>
      </c>
      <c r="DI30" s="4">
        <f t="shared" si="33"/>
        <v>7045.6218538179355</v>
      </c>
      <c r="DJ30" s="4">
        <f t="shared" si="33"/>
        <v>7116.0780723561147</v>
      </c>
      <c r="DK30" s="4">
        <f t="shared" si="33"/>
        <v>7187.2388530796761</v>
      </c>
    </row>
    <row r="31" spans="1:115" x14ac:dyDescent="0.2">
      <c r="I31" s="9"/>
      <c r="J31" s="9"/>
      <c r="K31" s="9"/>
    </row>
  </sheetData>
  <hyperlinks>
    <hyperlink ref="A1" location="Main!A1" display="Main" xr:uid="{C2551B7B-64F2-4AF5-8C07-782C9DE119AA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2025-05-24T01:26:00Z</dcterms:created>
  <dcterms:modified xsi:type="dcterms:W3CDTF">2025-05-24T04:39:36Z</dcterms:modified>
</cp:coreProperties>
</file>