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B4E1180F-CF74-4CD7-976E-C4E9D67C14B4}" xr6:coauthVersionLast="47" xr6:coauthVersionMax="47" xr10:uidLastSave="{00000000-0000-0000-0000-000000000000}"/>
  <bookViews>
    <workbookView xWindow="-105" yWindow="0" windowWidth="14610" windowHeight="15585" activeTab="1" xr2:uid="{631499F3-D3F0-4BAB-8239-3F5E4B2A089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2" l="1"/>
  <c r="O22" i="2"/>
  <c r="P22" i="2"/>
  <c r="Q22" i="2"/>
  <c r="M22" i="2"/>
  <c r="N2" i="2"/>
  <c r="O2" i="2" s="1"/>
  <c r="P2" i="2" s="1"/>
  <c r="Q2" i="2" s="1"/>
  <c r="M2" i="2"/>
  <c r="L20" i="2"/>
  <c r="J16" i="2"/>
  <c r="K16" i="2"/>
  <c r="L16" i="2"/>
  <c r="J15" i="2"/>
  <c r="K15" i="2"/>
  <c r="L15" i="2"/>
  <c r="J13" i="2"/>
  <c r="K13" i="2"/>
  <c r="L13" i="2"/>
  <c r="M8" i="2"/>
  <c r="L24" i="2"/>
  <c r="M3" i="2"/>
  <c r="K24" i="2"/>
  <c r="J24" i="2"/>
  <c r="L26" i="2"/>
  <c r="M10" i="2" s="1"/>
  <c r="M19" i="2"/>
  <c r="L19" i="2"/>
  <c r="K19" i="2"/>
  <c r="K22" i="2"/>
  <c r="L22" i="2"/>
  <c r="K8" i="2"/>
  <c r="L8" i="2"/>
  <c r="J8" i="2"/>
  <c r="K4" i="2"/>
  <c r="K9" i="2" s="1"/>
  <c r="L4" i="2"/>
  <c r="M4" i="2"/>
  <c r="K3" i="2"/>
  <c r="J3" i="2"/>
  <c r="K2" i="2"/>
  <c r="J2" i="2"/>
  <c r="J4" i="2" s="1"/>
  <c r="K1" i="2"/>
  <c r="L1" i="2" s="1"/>
  <c r="M1" i="2" s="1"/>
  <c r="N1" i="2" s="1"/>
  <c r="O1" i="2" s="1"/>
  <c r="P1" i="2" s="1"/>
  <c r="Q1" i="2" s="1"/>
  <c r="D4" i="1"/>
  <c r="D3" i="1"/>
  <c r="N3" i="2" l="1"/>
  <c r="J22" i="2"/>
  <c r="J9" i="2"/>
  <c r="N19" i="2"/>
  <c r="O3" i="2"/>
  <c r="N4" i="2"/>
  <c r="M9" i="2"/>
  <c r="M13" i="2" s="1"/>
  <c r="L9" i="2"/>
  <c r="D7" i="1"/>
  <c r="M14" i="2" l="1"/>
  <c r="M15" i="2" s="1"/>
  <c r="N8" i="2"/>
  <c r="N9" i="2" s="1"/>
  <c r="P3" i="2"/>
  <c r="O4" i="2"/>
  <c r="O19" i="2"/>
  <c r="M16" i="2" l="1"/>
  <c r="M26" i="2"/>
  <c r="N10" i="2" s="1"/>
  <c r="N13" i="2" s="1"/>
  <c r="N14" i="2" s="1"/>
  <c r="N15" i="2" s="1"/>
  <c r="N16" i="2" s="1"/>
  <c r="O8" i="2"/>
  <c r="O9" i="2" s="1"/>
  <c r="P19" i="2"/>
  <c r="P4" i="2"/>
  <c r="Q3" i="2"/>
  <c r="N26" i="2" l="1"/>
  <c r="O10" i="2" s="1"/>
  <c r="O13" i="2" s="1"/>
  <c r="Q8" i="2"/>
  <c r="P8" i="2"/>
  <c r="P9" i="2" s="1"/>
  <c r="Q4" i="2"/>
  <c r="Q19" i="2"/>
  <c r="O14" i="2" l="1"/>
  <c r="O15" i="2"/>
  <c r="O16" i="2" s="1"/>
  <c r="O26" i="2"/>
  <c r="Q9" i="2"/>
  <c r="P10" i="2" l="1"/>
  <c r="P13" i="2" s="1"/>
  <c r="P14" i="2" s="1"/>
  <c r="P15" i="2" s="1"/>
  <c r="P16" i="2" s="1"/>
  <c r="P26" i="2" l="1"/>
  <c r="Q10" i="2" l="1"/>
  <c r="Q13" i="2" s="1"/>
  <c r="Q14" i="2" s="1"/>
  <c r="Q15" i="2" s="1"/>
  <c r="Q26" i="2"/>
  <c r="R15" i="2" l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Q16" i="2"/>
  <c r="T21" i="2" l="1"/>
  <c r="T22" i="2" s="1"/>
  <c r="T23" i="2" s="1"/>
</calcChain>
</file>

<file path=xl/sharedStrings.xml><?xml version="1.0" encoding="utf-8"?>
<sst xmlns="http://schemas.openxmlformats.org/spreadsheetml/2006/main" count="51" uniqueCount="44">
  <si>
    <t>PDD</t>
  </si>
  <si>
    <t>Price</t>
  </si>
  <si>
    <t>Shares</t>
  </si>
  <si>
    <t>MC</t>
  </si>
  <si>
    <t>Cash</t>
  </si>
  <si>
    <t>Debt</t>
  </si>
  <si>
    <t>EV</t>
  </si>
  <si>
    <t>4:1 ADR</t>
  </si>
  <si>
    <t>Q424</t>
  </si>
  <si>
    <t>Revenue</t>
  </si>
  <si>
    <t>Main</t>
  </si>
  <si>
    <t>Q124</t>
  </si>
  <si>
    <t>Q224</t>
  </si>
  <si>
    <t>Q324</t>
  </si>
  <si>
    <t>Q125</t>
  </si>
  <si>
    <t>Q225</t>
  </si>
  <si>
    <t>COGS</t>
  </si>
  <si>
    <t>Gross Profit</t>
  </si>
  <si>
    <t>S&amp;M</t>
  </si>
  <si>
    <t>G&amp;A</t>
  </si>
  <si>
    <t>R&amp;D</t>
  </si>
  <si>
    <t>Operating Expenses</t>
  </si>
  <si>
    <t>Operating Income</t>
  </si>
  <si>
    <t>Interest Income</t>
  </si>
  <si>
    <t>Foreign Exchange Gain</t>
  </si>
  <si>
    <t>Other</t>
  </si>
  <si>
    <t>Pretax Income</t>
  </si>
  <si>
    <t>Tax</t>
  </si>
  <si>
    <t>Net Income</t>
  </si>
  <si>
    <t>EPS</t>
  </si>
  <si>
    <t>Revenue y/y</t>
  </si>
  <si>
    <t>Tax Rate</t>
  </si>
  <si>
    <t>Operating Margin</t>
  </si>
  <si>
    <t>Gross Margin</t>
  </si>
  <si>
    <t>Net Cash</t>
  </si>
  <si>
    <t>CFFO</t>
  </si>
  <si>
    <t>CX</t>
  </si>
  <si>
    <t>FCF</t>
  </si>
  <si>
    <t>OPEX Margin</t>
  </si>
  <si>
    <t>ROIC</t>
  </si>
  <si>
    <t>Maturity</t>
  </si>
  <si>
    <t>Discount</t>
  </si>
  <si>
    <t>NPV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</si>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</sst>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3" fontId="0" fillId="0" borderId="0" xfId="0" applyNumberFormat="1" applyFon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0</xdr:row>
      <xdr:rowOff>28575</xdr:rowOff>
    </xdr:from>
    <xdr:to>
      <xdr:col>6</xdr:col>
      <xdr:colOff>9525</xdr:colOff>
      <xdr:row>40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48179D-937B-E37A-3F91-86FFFAD9E0DA}"/>
            </a:ext>
          </a:extLst>
        </xdr:cNvPr>
        <xdr:cNvCxnSpPr/>
      </xdr:nvCxnSpPr>
      <xdr:spPr>
        <a:xfrm>
          <a:off x="3752850" y="28575"/>
          <a:ext cx="19050" cy="7077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0</xdr:row>
      <xdr:rowOff>0</xdr:rowOff>
    </xdr:from>
    <xdr:to>
      <xdr:col>12</xdr:col>
      <xdr:colOff>38100</xdr:colOff>
      <xdr:row>40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35AF556-04DD-4E27-92C4-8E854EAED65D}"/>
            </a:ext>
          </a:extLst>
        </xdr:cNvPr>
        <xdr:cNvCxnSpPr/>
      </xdr:nvCxnSpPr>
      <xdr:spPr>
        <a:xfrm>
          <a:off x="7896225" y="0"/>
          <a:ext cx="19050" cy="7077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0</xdr:row>
      <xdr:rowOff>28575</xdr:rowOff>
    </xdr:from>
    <xdr:to>
      <xdr:col>12</xdr:col>
      <xdr:colOff>28575</xdr:colOff>
      <xdr:row>34</xdr:row>
      <xdr:rowOff>28575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0D3EB74-5C7D-1ACE-A93C-8CEACD928ACC}"/>
            </a:ext>
          </a:extLst>
        </xdr:cNvPr>
        <xdr:cNvCxnSpPr/>
      </xdr:nvCxnSpPr>
      <xdr:spPr>
        <a:xfrm>
          <a:off x="8724900" y="28575"/>
          <a:ext cx="19050" cy="6010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E3AC-B726-4DC3-B9F2-16E4FDC062EA}">
  <dimension ref="A1:F7"/>
  <sheetViews>
    <sheetView zoomScale="175" zoomScaleNormal="175" workbookViewId="0">
      <selection activeCell="D6" sqref="D6"/>
    </sheetView>
  </sheetViews>
  <sheetFormatPr defaultRowHeight="14.25" x14ac:dyDescent="0.2"/>
  <sheetData>
    <row r="1" spans="1:6" ht="15" x14ac:dyDescent="0.25">
      <c r="A1" s="1" t="s">
        <v>0</v>
      </c>
    </row>
    <row r="2" spans="1:6" x14ac:dyDescent="0.2">
      <c r="C2" t="s">
        <v>1</v>
      </c>
      <c r="D2" s="2">
        <v>119</v>
      </c>
    </row>
    <row r="3" spans="1:6" x14ac:dyDescent="0.2">
      <c r="C3" t="s">
        <v>2</v>
      </c>
      <c r="D3" s="2">
        <f>5568.5/4</f>
        <v>1392.125</v>
      </c>
      <c r="E3" t="s">
        <v>8</v>
      </c>
      <c r="F3" t="s">
        <v>7</v>
      </c>
    </row>
    <row r="4" spans="1:6" x14ac:dyDescent="0.2">
      <c r="C4" t="s">
        <v>3</v>
      </c>
      <c r="D4" s="2">
        <f>D3*D2</f>
        <v>165662.875</v>
      </c>
    </row>
    <row r="5" spans="1:6" x14ac:dyDescent="0.2">
      <c r="C5" t="s">
        <v>4</v>
      </c>
      <c r="D5" s="2">
        <v>46000</v>
      </c>
      <c r="E5" t="s">
        <v>8</v>
      </c>
    </row>
    <row r="6" spans="1:6" x14ac:dyDescent="0.2">
      <c r="C6" t="s">
        <v>5</v>
      </c>
      <c r="D6" s="2">
        <v>1470</v>
      </c>
      <c r="E6" t="s">
        <v>8</v>
      </c>
    </row>
    <row r="7" spans="1:6" x14ac:dyDescent="0.2">
      <c r="C7" t="s">
        <v>6</v>
      </c>
      <c r="D7" s="2">
        <f>D4+D6-D5</f>
        <v>121132.875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F178-C6E6-4253-9872-7B716C4F579F}">
  <dimension ref="A1:DJ32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RowHeight="14.25" x14ac:dyDescent="0.2"/>
  <cols>
    <col min="1" max="1" width="4.375" style="2" customWidth="1"/>
    <col min="2" max="2" width="20" style="2" customWidth="1"/>
    <col min="3" max="16384" width="9" style="2"/>
  </cols>
  <sheetData>
    <row r="1" spans="1:114" x14ac:dyDescent="0.2">
      <c r="A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14</v>
      </c>
      <c r="H1" s="2" t="s">
        <v>15</v>
      </c>
      <c r="J1" s="4">
        <v>2022</v>
      </c>
      <c r="K1" s="4">
        <f>J1+1</f>
        <v>2023</v>
      </c>
      <c r="L1" s="4">
        <f t="shared" ref="L1:Q1" si="0">K1+1</f>
        <v>2024</v>
      </c>
      <c r="M1" s="4">
        <f t="shared" si="0"/>
        <v>2025</v>
      </c>
      <c r="N1" s="4">
        <f t="shared" si="0"/>
        <v>2026</v>
      </c>
      <c r="O1" s="4">
        <f t="shared" si="0"/>
        <v>2027</v>
      </c>
      <c r="P1" s="4">
        <f t="shared" si="0"/>
        <v>2028</v>
      </c>
      <c r="Q1" s="4">
        <f t="shared" si="0"/>
        <v>2029</v>
      </c>
    </row>
    <row r="2" spans="1:114" s="3" customFormat="1" ht="15" x14ac:dyDescent="0.25">
      <c r="A2" s="2"/>
      <c r="B2" s="3" t="s">
        <v>9</v>
      </c>
      <c r="J2" s="3">
        <f>130557*0.14</f>
        <v>18277.980000000003</v>
      </c>
      <c r="K2" s="3">
        <f>247639*0.14</f>
        <v>34669.460000000006</v>
      </c>
      <c r="L2" s="3">
        <v>53955.3</v>
      </c>
      <c r="M2" s="3">
        <f>L2*1.06</f>
        <v>57192.618000000009</v>
      </c>
      <c r="N2" s="3">
        <f t="shared" ref="N2:Q2" si="1">M2*1.06</f>
        <v>60624.175080000015</v>
      </c>
      <c r="O2" s="3">
        <f t="shared" si="1"/>
        <v>64261.625584800022</v>
      </c>
      <c r="P2" s="3">
        <f t="shared" si="1"/>
        <v>68117.323119888024</v>
      </c>
      <c r="Q2" s="3">
        <f t="shared" si="1"/>
        <v>72204.362507081314</v>
      </c>
    </row>
    <row r="3" spans="1:114" x14ac:dyDescent="0.2">
      <c r="B3" s="2" t="s">
        <v>16</v>
      </c>
      <c r="J3" s="2">
        <f>31462*0.14</f>
        <v>4404.68</v>
      </c>
      <c r="K3" s="2">
        <f>91723*0.14</f>
        <v>12841.220000000001</v>
      </c>
      <c r="L3" s="2">
        <v>21084</v>
      </c>
      <c r="M3" s="2">
        <f>M2*(1-M22)</f>
        <v>22349.040000000001</v>
      </c>
      <c r="N3" s="2">
        <f t="shared" ref="N3:Q3" si="2">N2*(1-N22)</f>
        <v>23689.982400000001</v>
      </c>
      <c r="O3" s="2">
        <f t="shared" si="2"/>
        <v>25111.381344000005</v>
      </c>
      <c r="P3" s="2">
        <f t="shared" si="2"/>
        <v>26618.064224640006</v>
      </c>
      <c r="Q3" s="2">
        <f t="shared" si="2"/>
        <v>28215.148078118407</v>
      </c>
    </row>
    <row r="4" spans="1:114" x14ac:dyDescent="0.2">
      <c r="B4" s="2" t="s">
        <v>17</v>
      </c>
      <c r="J4" s="2">
        <f>J2-J3</f>
        <v>13873.300000000003</v>
      </c>
      <c r="K4" s="2">
        <f t="shared" ref="K4:Q4" si="3">K2-K3</f>
        <v>21828.240000000005</v>
      </c>
      <c r="L4" s="2">
        <f t="shared" si="3"/>
        <v>32871.300000000003</v>
      </c>
      <c r="M4" s="2">
        <f t="shared" si="3"/>
        <v>34843.578000000009</v>
      </c>
      <c r="N4" s="2">
        <f t="shared" si="3"/>
        <v>36934.192680000015</v>
      </c>
      <c r="O4" s="2">
        <f t="shared" si="3"/>
        <v>39150.244240800021</v>
      </c>
      <c r="P4" s="2">
        <f t="shared" si="3"/>
        <v>41499.258895248015</v>
      </c>
      <c r="Q4" s="2">
        <f t="shared" si="3"/>
        <v>43989.214428962907</v>
      </c>
    </row>
    <row r="5" spans="1:114" x14ac:dyDescent="0.2">
      <c r="B5" s="2" t="s">
        <v>18</v>
      </c>
      <c r="L5" s="2">
        <v>15248</v>
      </c>
    </row>
    <row r="6" spans="1:114" x14ac:dyDescent="0.2">
      <c r="B6" s="2" t="s">
        <v>19</v>
      </c>
      <c r="L6" s="2">
        <v>1034.7</v>
      </c>
    </row>
    <row r="7" spans="1:114" x14ac:dyDescent="0.2">
      <c r="B7" s="2" t="s">
        <v>20</v>
      </c>
      <c r="L7" s="2">
        <v>1734.3</v>
      </c>
    </row>
    <row r="8" spans="1:114" x14ac:dyDescent="0.2">
      <c r="B8" s="2" t="s">
        <v>21</v>
      </c>
      <c r="J8" s="2">
        <f>SUM(J5:J7)</f>
        <v>0</v>
      </c>
      <c r="K8" s="2">
        <f t="shared" ref="K8:Q8" si="4">SUM(K5:K7)</f>
        <v>0</v>
      </c>
      <c r="L8" s="2">
        <f t="shared" si="4"/>
        <v>18017</v>
      </c>
      <c r="M8" s="2">
        <f>M2*M24</f>
        <v>18873.563940000004</v>
      </c>
      <c r="N8" s="2">
        <f t="shared" ref="N8:Q8" si="5">N2*N24</f>
        <v>20005.977776400006</v>
      </c>
      <c r="O8" s="2">
        <f t="shared" si="5"/>
        <v>21206.336442984008</v>
      </c>
      <c r="P8" s="2">
        <f t="shared" si="5"/>
        <v>22478.716629563049</v>
      </c>
      <c r="Q8" s="2">
        <f t="shared" si="5"/>
        <v>23827.439627336837</v>
      </c>
    </row>
    <row r="9" spans="1:114" x14ac:dyDescent="0.2">
      <c r="B9" s="2" t="s">
        <v>22</v>
      </c>
      <c r="J9" s="2">
        <f>J4-J8</f>
        <v>13873.300000000003</v>
      </c>
      <c r="K9" s="2">
        <f t="shared" ref="K9:Q9" si="6">K4-K8</f>
        <v>21828.240000000005</v>
      </c>
      <c r="L9" s="2">
        <f t="shared" si="6"/>
        <v>14854.300000000003</v>
      </c>
      <c r="M9" s="2">
        <f t="shared" si="6"/>
        <v>15970.014060000005</v>
      </c>
      <c r="N9" s="2">
        <f t="shared" si="6"/>
        <v>16928.214903600008</v>
      </c>
      <c r="O9" s="2">
        <f t="shared" si="6"/>
        <v>17943.907797816013</v>
      </c>
      <c r="P9" s="2">
        <f t="shared" si="6"/>
        <v>19020.542265684966</v>
      </c>
      <c r="Q9" s="2">
        <f t="shared" si="6"/>
        <v>20161.77480162607</v>
      </c>
    </row>
    <row r="10" spans="1:114" x14ac:dyDescent="0.2">
      <c r="B10" s="2" t="s">
        <v>23</v>
      </c>
      <c r="L10" s="2">
        <v>2815.8</v>
      </c>
      <c r="M10" s="2">
        <f>L26*$T$18</f>
        <v>2671.7999999999997</v>
      </c>
      <c r="N10" s="2">
        <f t="shared" ref="N10:Q10" si="7">M26*$T$18</f>
        <v>3622.5325170600004</v>
      </c>
      <c r="O10" s="2">
        <f t="shared" si="7"/>
        <v>4670.620635513661</v>
      </c>
      <c r="P10" s="2">
        <f t="shared" si="7"/>
        <v>5823.9615856134742</v>
      </c>
      <c r="Q10" s="2">
        <f t="shared" si="7"/>
        <v>7091.0312820296949</v>
      </c>
    </row>
    <row r="11" spans="1:114" x14ac:dyDescent="0.2">
      <c r="B11" s="2" t="s">
        <v>24</v>
      </c>
      <c r="L11" s="2">
        <v>80.5</v>
      </c>
    </row>
    <row r="12" spans="1:114" x14ac:dyDescent="0.2">
      <c r="B12" s="2" t="s">
        <v>25</v>
      </c>
      <c r="L12" s="2">
        <v>427.4</v>
      </c>
    </row>
    <row r="13" spans="1:114" x14ac:dyDescent="0.2">
      <c r="B13" s="2" t="s">
        <v>26</v>
      </c>
      <c r="J13" s="2">
        <f>SUM(J9:J12)</f>
        <v>13873.300000000003</v>
      </c>
      <c r="K13" s="2">
        <f>SUM(K9:K12)</f>
        <v>21828.240000000005</v>
      </c>
      <c r="L13" s="2">
        <f>SUM(L9:L12)</f>
        <v>18178.000000000004</v>
      </c>
      <c r="M13" s="2">
        <f t="shared" ref="M13:Q13" si="8">SUM(M9:M12)</f>
        <v>18641.814060000004</v>
      </c>
      <c r="N13" s="2">
        <f t="shared" si="8"/>
        <v>20550.747420660009</v>
      </c>
      <c r="O13" s="2">
        <f t="shared" si="8"/>
        <v>22614.528433329673</v>
      </c>
      <c r="P13" s="2">
        <f t="shared" si="8"/>
        <v>24844.503851298439</v>
      </c>
      <c r="Q13" s="2">
        <f t="shared" si="8"/>
        <v>27252.806083655763</v>
      </c>
    </row>
    <row r="14" spans="1:114" x14ac:dyDescent="0.2">
      <c r="B14" s="2" t="s">
        <v>27</v>
      </c>
      <c r="L14" s="2">
        <v>2776.5</v>
      </c>
      <c r="M14" s="2">
        <f>M13*M20</f>
        <v>2796.2721090000005</v>
      </c>
      <c r="N14" s="2">
        <f t="shared" ref="N14:Q14" si="9">N13*N20</f>
        <v>3082.6121130990014</v>
      </c>
      <c r="O14" s="2">
        <f t="shared" si="9"/>
        <v>3392.1792649994509</v>
      </c>
      <c r="P14" s="2">
        <f t="shared" si="9"/>
        <v>3726.6755776947657</v>
      </c>
      <c r="Q14" s="2">
        <f t="shared" si="9"/>
        <v>4087.9209125483644</v>
      </c>
    </row>
    <row r="15" spans="1:114" s="3" customFormat="1" ht="15" x14ac:dyDescent="0.25">
      <c r="A15" s="2"/>
      <c r="B15" s="3" t="s">
        <v>28</v>
      </c>
      <c r="J15" s="3">
        <f>J13-J14</f>
        <v>13873.300000000003</v>
      </c>
      <c r="K15" s="3">
        <f>K13-K14</f>
        <v>21828.240000000005</v>
      </c>
      <c r="L15" s="3">
        <f>L13-L14</f>
        <v>15401.500000000004</v>
      </c>
      <c r="M15" s="3">
        <f t="shared" ref="M15:Q15" si="10">M13-M14</f>
        <v>15845.541951000003</v>
      </c>
      <c r="N15" s="3">
        <f t="shared" si="10"/>
        <v>17468.13530756101</v>
      </c>
      <c r="O15" s="3">
        <f t="shared" si="10"/>
        <v>19222.349168330224</v>
      </c>
      <c r="P15" s="3">
        <f t="shared" si="10"/>
        <v>21117.828273603674</v>
      </c>
      <c r="Q15" s="3">
        <f t="shared" si="10"/>
        <v>23164.885171107398</v>
      </c>
      <c r="R15" s="3">
        <f>Q15*(1+$T$19)</f>
        <v>23396.534022818472</v>
      </c>
      <c r="S15" s="3">
        <f t="shared" ref="S15:CD15" si="11">R15*(1+$T$19)</f>
        <v>23630.499363046656</v>
      </c>
      <c r="T15" s="3">
        <f t="shared" si="11"/>
        <v>23866.804356677123</v>
      </c>
      <c r="U15" s="3">
        <f t="shared" si="11"/>
        <v>24105.472400243896</v>
      </c>
      <c r="V15" s="3">
        <f t="shared" si="11"/>
        <v>24346.527124246335</v>
      </c>
      <c r="W15" s="3">
        <f t="shared" si="11"/>
        <v>24589.9923954888</v>
      </c>
      <c r="X15" s="3">
        <f t="shared" si="11"/>
        <v>24835.892319443687</v>
      </c>
      <c r="Y15" s="3">
        <f t="shared" si="11"/>
        <v>25084.251242638125</v>
      </c>
      <c r="Z15" s="3">
        <f t="shared" si="11"/>
        <v>25335.093755064507</v>
      </c>
      <c r="AA15" s="3">
        <f t="shared" si="11"/>
        <v>25588.44469261515</v>
      </c>
      <c r="AB15" s="3">
        <f t="shared" si="11"/>
        <v>25844.329139541303</v>
      </c>
      <c r="AC15" s="3">
        <f t="shared" si="11"/>
        <v>26102.772430936715</v>
      </c>
      <c r="AD15" s="3">
        <f t="shared" si="11"/>
        <v>26363.800155246081</v>
      </c>
      <c r="AE15" s="3">
        <f t="shared" si="11"/>
        <v>26627.438156798544</v>
      </c>
      <c r="AF15" s="3">
        <f t="shared" si="11"/>
        <v>26893.71253836653</v>
      </c>
      <c r="AG15" s="3">
        <f t="shared" si="11"/>
        <v>27162.649663750195</v>
      </c>
      <c r="AH15" s="3">
        <f t="shared" si="11"/>
        <v>27434.276160387697</v>
      </c>
      <c r="AI15" s="3">
        <f t="shared" si="11"/>
        <v>27708.618921991576</v>
      </c>
      <c r="AJ15" s="3">
        <f t="shared" si="11"/>
        <v>27985.705111211493</v>
      </c>
      <c r="AK15" s="3">
        <f t="shared" si="11"/>
        <v>28265.562162323607</v>
      </c>
      <c r="AL15" s="3">
        <f t="shared" si="11"/>
        <v>28548.217783946842</v>
      </c>
      <c r="AM15" s="3">
        <f t="shared" si="11"/>
        <v>28833.699961786311</v>
      </c>
      <c r="AN15" s="3">
        <f t="shared" si="11"/>
        <v>29122.036961404174</v>
      </c>
      <c r="AO15" s="3">
        <f t="shared" si="11"/>
        <v>29413.257331018216</v>
      </c>
      <c r="AP15" s="3">
        <f t="shared" si="11"/>
        <v>29707.3899043284</v>
      </c>
      <c r="AQ15" s="3">
        <f t="shared" si="11"/>
        <v>30004.463803371684</v>
      </c>
      <c r="AR15" s="3">
        <f t="shared" si="11"/>
        <v>30304.5084414054</v>
      </c>
      <c r="AS15" s="3">
        <f t="shared" si="11"/>
        <v>30607.553525819454</v>
      </c>
      <c r="AT15" s="3">
        <f t="shared" si="11"/>
        <v>30913.629061077649</v>
      </c>
      <c r="AU15" s="3">
        <f t="shared" si="11"/>
        <v>31222.765351688424</v>
      </c>
      <c r="AV15" s="3">
        <f t="shared" si="11"/>
        <v>31534.99300520531</v>
      </c>
      <c r="AW15" s="3">
        <f t="shared" si="11"/>
        <v>31850.342935257362</v>
      </c>
      <c r="AX15" s="3">
        <f t="shared" si="11"/>
        <v>32168.846364609937</v>
      </c>
      <c r="AY15" s="3">
        <f t="shared" si="11"/>
        <v>32490.534828256037</v>
      </c>
      <c r="AZ15" s="3">
        <f t="shared" si="11"/>
        <v>32815.440176538599</v>
      </c>
      <c r="BA15" s="3">
        <f t="shared" si="11"/>
        <v>33143.594578303986</v>
      </c>
      <c r="BB15" s="3">
        <f t="shared" si="11"/>
        <v>33475.030524087029</v>
      </c>
      <c r="BC15" s="3">
        <f t="shared" si="11"/>
        <v>33809.780829327901</v>
      </c>
      <c r="BD15" s="3">
        <f t="shared" si="11"/>
        <v>34147.878637621179</v>
      </c>
      <c r="BE15" s="3">
        <f t="shared" si="11"/>
        <v>34489.35742399739</v>
      </c>
      <c r="BF15" s="3">
        <f t="shared" si="11"/>
        <v>34834.250998237367</v>
      </c>
      <c r="BG15" s="3">
        <f t="shared" si="11"/>
        <v>35182.593508219739</v>
      </c>
      <c r="BH15" s="3">
        <f t="shared" si="11"/>
        <v>35534.419443301937</v>
      </c>
      <c r="BI15" s="3">
        <f t="shared" si="11"/>
        <v>35889.763637734955</v>
      </c>
      <c r="BJ15" s="3">
        <f t="shared" si="11"/>
        <v>36248.661274112303</v>
      </c>
      <c r="BK15" s="3">
        <f t="shared" si="11"/>
        <v>36611.147886853425</v>
      </c>
      <c r="BL15" s="3">
        <f t="shared" si="11"/>
        <v>36977.259365721962</v>
      </c>
      <c r="BM15" s="3">
        <f t="shared" si="11"/>
        <v>37347.031959379179</v>
      </c>
      <c r="BN15" s="3">
        <f t="shared" si="11"/>
        <v>37720.50227897297</v>
      </c>
      <c r="BO15" s="3">
        <f t="shared" si="11"/>
        <v>38097.707301762697</v>
      </c>
      <c r="BP15" s="3">
        <f t="shared" si="11"/>
        <v>38478.684374780321</v>
      </c>
      <c r="BQ15" s="3">
        <f t="shared" si="11"/>
        <v>38863.471218528124</v>
      </c>
      <c r="BR15" s="3">
        <f t="shared" si="11"/>
        <v>39252.105930713406</v>
      </c>
      <c r="BS15" s="3">
        <f t="shared" si="11"/>
        <v>39644.626990020537</v>
      </c>
      <c r="BT15" s="3">
        <f t="shared" si="11"/>
        <v>40041.07325992074</v>
      </c>
      <c r="BU15" s="3">
        <f t="shared" si="11"/>
        <v>40441.483992519949</v>
      </c>
      <c r="BV15" s="3">
        <f t="shared" si="11"/>
        <v>40845.898832445149</v>
      </c>
      <c r="BW15" s="3">
        <f t="shared" si="11"/>
        <v>41254.357820769605</v>
      </c>
      <c r="BX15" s="3">
        <f t="shared" si="11"/>
        <v>41666.901398977301</v>
      </c>
      <c r="BY15" s="3">
        <f t="shared" si="11"/>
        <v>42083.570412967078</v>
      </c>
      <c r="BZ15" s="3">
        <f t="shared" si="11"/>
        <v>42504.406117096747</v>
      </c>
      <c r="CA15" s="3">
        <f t="shared" si="11"/>
        <v>42929.450178267718</v>
      </c>
      <c r="CB15" s="3">
        <f t="shared" si="11"/>
        <v>43358.744680050397</v>
      </c>
      <c r="CC15" s="3">
        <f t="shared" si="11"/>
        <v>43792.332126850903</v>
      </c>
      <c r="CD15" s="3">
        <f t="shared" si="11"/>
        <v>44230.255448119409</v>
      </c>
      <c r="CE15" s="3">
        <f t="shared" ref="CE15:DJ15" si="12">CD15*(1+$T$19)</f>
        <v>44672.558002600606</v>
      </c>
      <c r="CF15" s="3">
        <f t="shared" si="12"/>
        <v>45119.283582626616</v>
      </c>
      <c r="CG15" s="3">
        <f t="shared" si="12"/>
        <v>45570.476418452883</v>
      </c>
      <c r="CH15" s="3">
        <f t="shared" si="12"/>
        <v>46026.181182637411</v>
      </c>
      <c r="CI15" s="3">
        <f t="shared" si="12"/>
        <v>46486.442994463789</v>
      </c>
      <c r="CJ15" s="3">
        <f t="shared" si="12"/>
        <v>46951.307424408427</v>
      </c>
      <c r="CK15" s="3">
        <f t="shared" si="12"/>
        <v>47420.820498652509</v>
      </c>
      <c r="CL15" s="3">
        <f t="shared" si="12"/>
        <v>47895.028703639036</v>
      </c>
      <c r="CM15" s="3">
        <f t="shared" si="12"/>
        <v>48373.97899067543</v>
      </c>
      <c r="CN15" s="3">
        <f t="shared" si="12"/>
        <v>48857.718780582189</v>
      </c>
      <c r="CO15" s="3">
        <f t="shared" si="12"/>
        <v>49346.295968388011</v>
      </c>
      <c r="CP15" s="3">
        <f t="shared" si="12"/>
        <v>49839.758928071889</v>
      </c>
      <c r="CQ15" s="3">
        <f t="shared" si="12"/>
        <v>50338.156517352611</v>
      </c>
      <c r="CR15" s="3">
        <f t="shared" si="12"/>
        <v>50841.538082526138</v>
      </c>
      <c r="CS15" s="3">
        <f t="shared" si="12"/>
        <v>51349.953463351398</v>
      </c>
      <c r="CT15" s="3">
        <f t="shared" si="12"/>
        <v>51863.45299798491</v>
      </c>
      <c r="CU15" s="3">
        <f t="shared" si="12"/>
        <v>52382.087527964759</v>
      </c>
      <c r="CV15" s="3">
        <f t="shared" si="12"/>
        <v>52905.908403244408</v>
      </c>
      <c r="CW15" s="3">
        <f t="shared" si="12"/>
        <v>53434.967487276852</v>
      </c>
      <c r="CX15" s="3">
        <f t="shared" si="12"/>
        <v>53969.317162149622</v>
      </c>
      <c r="CY15" s="3">
        <f t="shared" si="12"/>
        <v>54509.010333771119</v>
      </c>
      <c r="CZ15" s="3">
        <f t="shared" si="12"/>
        <v>55054.100437108827</v>
      </c>
      <c r="DA15" s="3">
        <f t="shared" si="12"/>
        <v>55604.641441479915</v>
      </c>
      <c r="DB15" s="3">
        <f t="shared" si="12"/>
        <v>56160.687855894714</v>
      </c>
      <c r="DC15" s="3">
        <f t="shared" si="12"/>
        <v>56722.294734453659</v>
      </c>
      <c r="DD15" s="3">
        <f t="shared" si="12"/>
        <v>57289.517681798199</v>
      </c>
      <c r="DE15" s="3">
        <f t="shared" si="12"/>
        <v>57862.412858616182</v>
      </c>
      <c r="DF15" s="3">
        <f t="shared" si="12"/>
        <v>58441.036987202344</v>
      </c>
      <c r="DG15" s="3">
        <f t="shared" si="12"/>
        <v>59025.447357074365</v>
      </c>
      <c r="DH15" s="3">
        <f t="shared" si="12"/>
        <v>59615.701830645106</v>
      </c>
      <c r="DI15" s="3">
        <f t="shared" si="12"/>
        <v>60211.858848951561</v>
      </c>
      <c r="DJ15" s="3">
        <f t="shared" si="12"/>
        <v>60813.977437441077</v>
      </c>
    </row>
    <row r="16" spans="1:114" x14ac:dyDescent="0.2">
      <c r="B16" s="2" t="s">
        <v>29</v>
      </c>
      <c r="J16" s="9">
        <f>J15/J17</f>
        <v>2.4081409477521269</v>
      </c>
      <c r="K16" s="9">
        <f>K15/K17</f>
        <v>3.7383524576126059</v>
      </c>
      <c r="L16" s="9">
        <f>L15/L17</f>
        <v>2.6031437505281847</v>
      </c>
      <c r="M16" s="9">
        <f t="shared" ref="M16:Q16" si="13">M15/M17</f>
        <v>2.6781952084847465</v>
      </c>
      <c r="N16" s="9">
        <f t="shared" si="13"/>
        <v>2.9524440644910013</v>
      </c>
      <c r="O16" s="9">
        <f t="shared" si="13"/>
        <v>3.2489392661759866</v>
      </c>
      <c r="P16" s="9">
        <f t="shared" si="13"/>
        <v>3.5693109564106607</v>
      </c>
      <c r="Q16" s="9">
        <f t="shared" si="13"/>
        <v>3.9153021501068874</v>
      </c>
    </row>
    <row r="17" spans="1:20" x14ac:dyDescent="0.2">
      <c r="B17" s="2" t="s">
        <v>2</v>
      </c>
      <c r="J17" s="2">
        <v>5761</v>
      </c>
      <c r="K17" s="2">
        <v>5839</v>
      </c>
      <c r="L17" s="2">
        <v>5916.5</v>
      </c>
      <c r="M17" s="2">
        <v>5916.5</v>
      </c>
      <c r="N17" s="2">
        <v>5916.5</v>
      </c>
      <c r="O17" s="2">
        <v>5916.5</v>
      </c>
      <c r="P17" s="2">
        <v>5916.5</v>
      </c>
      <c r="Q17" s="2">
        <v>5916.5</v>
      </c>
    </row>
    <row r="18" spans="1:20" x14ac:dyDescent="0.2">
      <c r="S18" s="2" t="s">
        <v>39</v>
      </c>
      <c r="T18" s="8">
        <v>0.06</v>
      </c>
    </row>
    <row r="19" spans="1:20" s="3" customFormat="1" ht="15" x14ac:dyDescent="0.25">
      <c r="A19" s="2"/>
      <c r="B19" s="3" t="s">
        <v>30</v>
      </c>
      <c r="K19" s="5">
        <f>K2/J2-1</f>
        <v>0.89678837595839367</v>
      </c>
      <c r="L19" s="5">
        <f>L2/K2-1</f>
        <v>0.55627748456422443</v>
      </c>
      <c r="M19" s="5">
        <f t="shared" ref="M19:Q19" si="14">M2/L2-1</f>
        <v>6.0000000000000053E-2</v>
      </c>
      <c r="N19" s="5">
        <f t="shared" si="14"/>
        <v>6.0000000000000053E-2</v>
      </c>
      <c r="O19" s="5">
        <f t="shared" si="14"/>
        <v>6.0000000000000053E-2</v>
      </c>
      <c r="P19" s="5">
        <f t="shared" si="14"/>
        <v>6.0000000000000053E-2</v>
      </c>
      <c r="Q19" s="5">
        <f t="shared" si="14"/>
        <v>6.0000000000000053E-2</v>
      </c>
      <c r="S19" s="7" t="s">
        <v>40</v>
      </c>
      <c r="T19" s="8">
        <v>0.01</v>
      </c>
    </row>
    <row r="20" spans="1:20" x14ac:dyDescent="0.2">
      <c r="B20" s="2" t="s">
        <v>31</v>
      </c>
      <c r="L20" s="6">
        <f>L14/L13</f>
        <v>0.15273957531081525</v>
      </c>
      <c r="M20" s="6">
        <v>0.15</v>
      </c>
      <c r="N20" s="6">
        <v>0.15</v>
      </c>
      <c r="O20" s="6">
        <v>0.15</v>
      </c>
      <c r="P20" s="6">
        <v>0.15</v>
      </c>
      <c r="Q20" s="6">
        <v>0.15</v>
      </c>
      <c r="S20" s="2" t="s">
        <v>41</v>
      </c>
      <c r="T20" s="8">
        <v>8.5000000000000006E-2</v>
      </c>
    </row>
    <row r="21" spans="1:20" ht="15" x14ac:dyDescent="0.25">
      <c r="S21" s="3" t="s">
        <v>42</v>
      </c>
      <c r="T21" s="3">
        <f>NPV(T20,M15:XFD15)+Main!D5-Main!D6</f>
        <v>326929.875207312</v>
      </c>
    </row>
    <row r="22" spans="1:20" s="3" customFormat="1" ht="15" x14ac:dyDescent="0.25">
      <c r="A22" s="2"/>
      <c r="B22" s="3" t="s">
        <v>33</v>
      </c>
      <c r="J22" s="5">
        <f>J4/J2</f>
        <v>0.75901713427851436</v>
      </c>
      <c r="K22" s="5">
        <f t="shared" ref="K22:Q22" si="15">K4/K2</f>
        <v>0.6296100371912341</v>
      </c>
      <c r="L22" s="5">
        <f t="shared" si="15"/>
        <v>0.60923208656054184</v>
      </c>
      <c r="M22" s="5">
        <f>L22</f>
        <v>0.60923208656054184</v>
      </c>
      <c r="N22" s="5">
        <f t="shared" ref="N22:Q22" si="16">M22</f>
        <v>0.60923208656054184</v>
      </c>
      <c r="O22" s="5">
        <f t="shared" si="16"/>
        <v>0.60923208656054184</v>
      </c>
      <c r="P22" s="5">
        <f t="shared" si="16"/>
        <v>0.60923208656054184</v>
      </c>
      <c r="Q22" s="5">
        <f t="shared" si="16"/>
        <v>0.60923208656054184</v>
      </c>
      <c r="S22" s="7" t="s">
        <v>1</v>
      </c>
      <c r="T22" s="3">
        <f>T21/Main!D3</f>
        <v>234.84232752612877</v>
      </c>
    </row>
    <row r="23" spans="1:20" x14ac:dyDescent="0.2">
      <c r="B23" s="2" t="s">
        <v>32</v>
      </c>
      <c r="S23" s="2" t="s">
        <v>43</v>
      </c>
      <c r="T23" s="6">
        <f>T22/Main!D2-1</f>
        <v>0.97346493719435934</v>
      </c>
    </row>
    <row r="24" spans="1:20" x14ac:dyDescent="0.2">
      <c r="B24" s="2" t="s">
        <v>38</v>
      </c>
      <c r="J24" s="6">
        <f>J9/J2</f>
        <v>0.75901713427851436</v>
      </c>
      <c r="K24" s="6">
        <f t="shared" ref="K24:Q24" si="17">K9/K2</f>
        <v>0.6296100371912341</v>
      </c>
      <c r="L24" s="6">
        <f>L8/L2</f>
        <v>0.33392456348125205</v>
      </c>
      <c r="M24" s="6">
        <v>0.33</v>
      </c>
      <c r="N24" s="6">
        <v>0.33</v>
      </c>
      <c r="O24" s="6">
        <v>0.33</v>
      </c>
      <c r="P24" s="6">
        <v>0.33</v>
      </c>
      <c r="Q24" s="6">
        <v>0.33</v>
      </c>
    </row>
    <row r="26" spans="1:20" x14ac:dyDescent="0.2">
      <c r="B26" s="2" t="s">
        <v>34</v>
      </c>
      <c r="L26" s="2">
        <f>L27-L28</f>
        <v>44530</v>
      </c>
      <c r="M26" s="2">
        <f>L26+M15</f>
        <v>60375.541951000007</v>
      </c>
      <c r="N26" s="2">
        <f t="shared" ref="N26:Q26" si="18">M26+N15</f>
        <v>77843.677258561016</v>
      </c>
      <c r="O26" s="2">
        <f t="shared" si="18"/>
        <v>97066.026426891243</v>
      </c>
      <c r="P26" s="2">
        <f t="shared" si="18"/>
        <v>118183.85470049492</v>
      </c>
      <c r="Q26" s="2">
        <f t="shared" si="18"/>
        <v>141348.73987160233</v>
      </c>
    </row>
    <row r="27" spans="1:20" x14ac:dyDescent="0.2">
      <c r="B27" s="2" t="s">
        <v>4</v>
      </c>
      <c r="L27" s="2">
        <v>46000</v>
      </c>
    </row>
    <row r="28" spans="1:20" x14ac:dyDescent="0.2">
      <c r="B28" s="2" t="s">
        <v>5</v>
      </c>
      <c r="L28" s="2">
        <v>1470</v>
      </c>
    </row>
    <row r="30" spans="1:20" x14ac:dyDescent="0.2">
      <c r="B30" s="2" t="s">
        <v>35</v>
      </c>
    </row>
    <row r="31" spans="1:20" x14ac:dyDescent="0.2">
      <c r="B31" s="2" t="s">
        <v>36</v>
      </c>
    </row>
    <row r="32" spans="1:20" s="3" customFormat="1" ht="15" x14ac:dyDescent="0.25">
      <c r="A32" s="2"/>
      <c r="B32" s="3" t="s">
        <v>37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2025-05-24T04:16:18Z</dcterms:created>
  <dcterms:modified xsi:type="dcterms:W3CDTF">2025-05-24T06:25:39Z</dcterms:modified>
</cp:coreProperties>
</file>