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5507DAB-9283-418F-A083-CB867E319584}" xr6:coauthVersionLast="47" xr6:coauthVersionMax="47" xr10:uidLastSave="{00000000-0000-0000-0000-000000000000}"/>
  <bookViews>
    <workbookView xWindow="4980" yWindow="930" windowWidth="23670" windowHeight="14145" xr2:uid="{48687CDE-C838-4D92-92A6-E2D215D3B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" l="1"/>
  <c r="M23" i="2" s="1"/>
  <c r="N23" i="2" s="1"/>
  <c r="O23" i="2" s="1"/>
  <c r="K23" i="2"/>
  <c r="L26" i="2"/>
  <c r="M26" i="2" s="1"/>
  <c r="K26" i="2"/>
  <c r="K29" i="2"/>
  <c r="K27" i="2"/>
  <c r="L27" i="2"/>
  <c r="L29" i="2" s="1"/>
  <c r="H26" i="2"/>
  <c r="I26" i="2"/>
  <c r="J26" i="2"/>
  <c r="L28" i="2"/>
  <c r="M28" i="2"/>
  <c r="N28" i="2"/>
  <c r="O28" i="2"/>
  <c r="K28" i="2"/>
  <c r="K8" i="2"/>
  <c r="I23" i="2"/>
  <c r="J23" i="2"/>
  <c r="H23" i="2"/>
  <c r="K6" i="2"/>
  <c r="L6" i="2" s="1"/>
  <c r="M6" i="2" s="1"/>
  <c r="N6" i="2" s="1"/>
  <c r="O6" i="2" s="1"/>
  <c r="K7" i="2"/>
  <c r="L7" i="2" s="1"/>
  <c r="M7" i="2" s="1"/>
  <c r="N7" i="2" s="1"/>
  <c r="O7" i="2" s="1"/>
  <c r="K5" i="2"/>
  <c r="L5" i="2" s="1"/>
  <c r="M5" i="2" s="1"/>
  <c r="N5" i="2" s="1"/>
  <c r="O5" i="2" s="1"/>
  <c r="J29" i="2"/>
  <c r="J31" i="2" s="1"/>
  <c r="K2" i="2"/>
  <c r="L2" i="2" s="1"/>
  <c r="M2" i="2" s="1"/>
  <c r="N2" i="2" s="1"/>
  <c r="O2" i="2" s="1"/>
  <c r="J34" i="2"/>
  <c r="J32" i="2" s="1"/>
  <c r="K10" i="2" s="1"/>
  <c r="I29" i="2"/>
  <c r="I22" i="2" s="1"/>
  <c r="H29" i="2"/>
  <c r="H22" i="2" s="1"/>
  <c r="F29" i="2"/>
  <c r="B29" i="2"/>
  <c r="C29" i="2"/>
  <c r="D29" i="2"/>
  <c r="E29" i="2"/>
  <c r="I8" i="2"/>
  <c r="J8" i="2"/>
  <c r="J9" i="2" s="1"/>
  <c r="H8" i="2"/>
  <c r="C8" i="2"/>
  <c r="D8" i="2"/>
  <c r="E8" i="2"/>
  <c r="F8" i="2"/>
  <c r="B8" i="2"/>
  <c r="B4" i="2"/>
  <c r="B20" i="2" s="1"/>
  <c r="C4" i="2"/>
  <c r="C20" i="2" s="1"/>
  <c r="D4" i="2"/>
  <c r="D20" i="2" s="1"/>
  <c r="I4" i="2"/>
  <c r="I20" i="2" s="1"/>
  <c r="J4" i="2"/>
  <c r="J20" i="2" s="1"/>
  <c r="K20" i="2" s="1"/>
  <c r="L20" i="2" s="1"/>
  <c r="M20" i="2" s="1"/>
  <c r="N20" i="2" s="1"/>
  <c r="O20" i="2" s="1"/>
  <c r="H4" i="2"/>
  <c r="E4" i="2"/>
  <c r="E5" i="1"/>
  <c r="J18" i="2"/>
  <c r="I18" i="2"/>
  <c r="I1" i="2"/>
  <c r="H1" i="2" s="1"/>
  <c r="K1" i="2"/>
  <c r="L1" i="2" s="1"/>
  <c r="M1" i="2" s="1"/>
  <c r="N1" i="2" s="1"/>
  <c r="O1" i="2" s="1"/>
  <c r="E4" i="1"/>
  <c r="N26" i="2" l="1"/>
  <c r="M27" i="2"/>
  <c r="M29" i="2" s="1"/>
  <c r="O8" i="2"/>
  <c r="M8" i="2"/>
  <c r="L8" i="2"/>
  <c r="N8" i="2"/>
  <c r="H9" i="2"/>
  <c r="I9" i="2"/>
  <c r="I12" i="2" s="1"/>
  <c r="H21" i="2"/>
  <c r="H12" i="2"/>
  <c r="J21" i="2"/>
  <c r="J12" i="2"/>
  <c r="I21" i="2"/>
  <c r="E7" i="1"/>
  <c r="J22" i="2"/>
  <c r="K22" i="2" s="1"/>
  <c r="D12" i="2"/>
  <c r="D14" i="2" s="1"/>
  <c r="K3" i="2"/>
  <c r="K4" i="2" s="1"/>
  <c r="E12" i="2"/>
  <c r="E14" i="2" s="1"/>
  <c r="B12" i="2"/>
  <c r="B14" i="2" s="1"/>
  <c r="C12" i="2"/>
  <c r="C14" i="2" s="1"/>
  <c r="H25" i="2"/>
  <c r="H20" i="2"/>
  <c r="E20" i="2"/>
  <c r="I25" i="2"/>
  <c r="K18" i="2"/>
  <c r="L18" i="2"/>
  <c r="O26" i="2" l="1"/>
  <c r="O27" i="2" s="1"/>
  <c r="O29" i="2" s="1"/>
  <c r="N27" i="2"/>
  <c r="N29" i="2" s="1"/>
  <c r="L22" i="2"/>
  <c r="L3" i="2"/>
  <c r="L4" i="2" s="1"/>
  <c r="M3" i="2"/>
  <c r="J25" i="2"/>
  <c r="J14" i="2"/>
  <c r="J16" i="2" s="1"/>
  <c r="M22" i="2" l="1"/>
  <c r="N3" i="2"/>
  <c r="M4" i="2"/>
  <c r="M18" i="2"/>
  <c r="N22" i="2" l="1"/>
  <c r="O3" i="2"/>
  <c r="N4" i="2"/>
  <c r="N18" i="2"/>
  <c r="O22" i="2" l="1"/>
  <c r="O4" i="2"/>
  <c r="O18" i="2"/>
  <c r="F3" i="2" l="1"/>
  <c r="F4" i="2"/>
  <c r="F12" i="2" s="1"/>
  <c r="F14" i="2" s="1"/>
  <c r="L9" i="2"/>
  <c r="L21" i="2" s="1"/>
  <c r="K9" i="2"/>
  <c r="K21" i="2" l="1"/>
  <c r="K12" i="2"/>
  <c r="K13" i="2" s="1"/>
  <c r="K14" i="2" s="1"/>
  <c r="M9" i="2"/>
  <c r="M21" i="2" s="1"/>
  <c r="N9" i="2"/>
  <c r="N21" i="2" s="1"/>
  <c r="O9" i="2"/>
  <c r="O21" i="2" s="1"/>
  <c r="K16" i="2" l="1"/>
  <c r="K32" i="2"/>
  <c r="K31" i="2" l="1"/>
  <c r="E8" i="1" s="1"/>
  <c r="L10" i="2"/>
  <c r="L12" i="2" s="1"/>
  <c r="L13" i="2" l="1"/>
  <c r="L14" i="2" s="1"/>
  <c r="L16" i="2" l="1"/>
  <c r="L32" i="2"/>
  <c r="L31" i="2" l="1"/>
  <c r="M10" i="2"/>
  <c r="M12" i="2" s="1"/>
  <c r="M13" i="2" l="1"/>
  <c r="M14" i="2" s="1"/>
  <c r="M16" i="2" l="1"/>
  <c r="M32" i="2"/>
  <c r="M31" i="2" l="1"/>
  <c r="N10" i="2"/>
  <c r="N12" i="2" s="1"/>
  <c r="N13" i="2" l="1"/>
  <c r="N14" i="2" s="1"/>
  <c r="N16" i="2" l="1"/>
  <c r="N32" i="2"/>
  <c r="N31" i="2" l="1"/>
  <c r="O10" i="2"/>
  <c r="O12" i="2" s="1"/>
  <c r="O13" i="2" l="1"/>
  <c r="O14" i="2" s="1"/>
  <c r="O16" i="2" l="1"/>
  <c r="P14" i="2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O32" i="2"/>
  <c r="P29" i="2" l="1"/>
  <c r="O31" i="2"/>
  <c r="Q29" i="2" l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R35" i="2" l="1"/>
  <c r="R36" i="2" s="1"/>
  <c r="R37" i="2" s="1"/>
</calcChain>
</file>

<file path=xl/sharedStrings.xml><?xml version="1.0" encoding="utf-8"?>
<sst xmlns="http://schemas.openxmlformats.org/spreadsheetml/2006/main" count="51" uniqueCount="44">
  <si>
    <t>PINS</t>
  </si>
  <si>
    <t>Price</t>
  </si>
  <si>
    <t>Shares</t>
  </si>
  <si>
    <t>MC</t>
  </si>
  <si>
    <t>Cash</t>
  </si>
  <si>
    <t>Debt</t>
  </si>
  <si>
    <t>EV</t>
  </si>
  <si>
    <t>FCF</t>
  </si>
  <si>
    <t>Revenue</t>
  </si>
  <si>
    <t>Net Income</t>
  </si>
  <si>
    <t>Gross Margin</t>
  </si>
  <si>
    <t>CFFO</t>
  </si>
  <si>
    <t>Q124</t>
  </si>
  <si>
    <t>Q224</t>
  </si>
  <si>
    <t>Q324</t>
  </si>
  <si>
    <t>Q424</t>
  </si>
  <si>
    <t>Q125</t>
  </si>
  <si>
    <t>Maturity</t>
  </si>
  <si>
    <t>Discount</t>
  </si>
  <si>
    <t>NPV</t>
  </si>
  <si>
    <t>Diff</t>
  </si>
  <si>
    <t>Pretax Income</t>
  </si>
  <si>
    <t>Tax</t>
  </si>
  <si>
    <t>Tax Rate</t>
  </si>
  <si>
    <t>MAU</t>
  </si>
  <si>
    <t>COGS</t>
  </si>
  <si>
    <t>R&amp;D</t>
  </si>
  <si>
    <t>S&amp;M</t>
  </si>
  <si>
    <t>G&amp;A</t>
  </si>
  <si>
    <t>OPEX</t>
  </si>
  <si>
    <t>Other Income</t>
  </si>
  <si>
    <t>Gross Profit</t>
  </si>
  <si>
    <t>Interest</t>
  </si>
  <si>
    <t>CX</t>
  </si>
  <si>
    <t>Net Cash</t>
  </si>
  <si>
    <t>ROIC</t>
  </si>
  <si>
    <t>EPS</t>
  </si>
  <si>
    <t>PE</t>
  </si>
  <si>
    <t>FCF Margin</t>
  </si>
  <si>
    <t>Operating Margin</t>
  </si>
  <si>
    <t>Operating Income</t>
  </si>
  <si>
    <t>OPEX Margin</t>
  </si>
  <si>
    <t>Revenue y/y</t>
  </si>
  <si>
    <t>Is their AI going to return enough at a low enough expense to justify the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</si>
</sst>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19050</xdr:colOff>
      <xdr:row>46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0F20E6-FE19-897D-49EA-F937B6646118}"/>
            </a:ext>
          </a:extLst>
        </xdr:cNvPr>
        <xdr:cNvCxnSpPr/>
      </xdr:nvCxnSpPr>
      <xdr:spPr>
        <a:xfrm flipH="1">
          <a:off x="6096000" y="0"/>
          <a:ext cx="19050" cy="5514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0</xdr:row>
      <xdr:rowOff>9525</xdr:rowOff>
    </xdr:from>
    <xdr:to>
      <xdr:col>5</xdr:col>
      <xdr:colOff>0</xdr:colOff>
      <xdr:row>46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86A3CB-0BEC-9DEB-5BD0-735C76F36144}"/>
            </a:ext>
          </a:extLst>
        </xdr:cNvPr>
        <xdr:cNvCxnSpPr/>
      </xdr:nvCxnSpPr>
      <xdr:spPr>
        <a:xfrm>
          <a:off x="3038475" y="9525"/>
          <a:ext cx="9525" cy="548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AB11-F388-4BB8-9EB8-C99DB9269CC8}">
  <dimension ref="A1:F24"/>
  <sheetViews>
    <sheetView tabSelected="1" zoomScale="220" zoomScaleNormal="220" workbookViewId="0">
      <selection activeCell="E3" sqref="E3"/>
    </sheetView>
  </sheetViews>
  <sheetFormatPr defaultRowHeight="14.25" x14ac:dyDescent="0.2"/>
  <cols>
    <col min="1" max="16384" width="9.140625" style="9"/>
  </cols>
  <sheetData>
    <row r="1" spans="1:6" ht="15" x14ac:dyDescent="0.25">
      <c r="A1" s="8" t="s">
        <v>0</v>
      </c>
    </row>
    <row r="2" spans="1:6" x14ac:dyDescent="0.2">
      <c r="D2" s="9" t="s">
        <v>1</v>
      </c>
      <c r="E2" s="1">
        <v>32</v>
      </c>
    </row>
    <row r="3" spans="1:6" x14ac:dyDescent="0.2">
      <c r="B3" s="9" t="s">
        <v>43</v>
      </c>
      <c r="D3" s="9" t="s">
        <v>2</v>
      </c>
      <c r="E3" s="1">
        <v>678.24</v>
      </c>
      <c r="F3" s="9" t="s">
        <v>15</v>
      </c>
    </row>
    <row r="4" spans="1:6" x14ac:dyDescent="0.2">
      <c r="D4" s="9" t="s">
        <v>3</v>
      </c>
      <c r="E4" s="1">
        <f>E3*E2</f>
        <v>21703.68</v>
      </c>
    </row>
    <row r="5" spans="1:6" x14ac:dyDescent="0.2">
      <c r="D5" s="9" t="s">
        <v>4</v>
      </c>
      <c r="E5" s="1">
        <f>1136.4+1376.4</f>
        <v>2512.8000000000002</v>
      </c>
      <c r="F5" s="9" t="s">
        <v>15</v>
      </c>
    </row>
    <row r="6" spans="1:6" x14ac:dyDescent="0.2">
      <c r="D6" s="9" t="s">
        <v>5</v>
      </c>
      <c r="E6" s="1">
        <v>0</v>
      </c>
      <c r="F6" s="9" t="s">
        <v>15</v>
      </c>
    </row>
    <row r="7" spans="1:6" x14ac:dyDescent="0.2">
      <c r="D7" s="9" t="s">
        <v>6</v>
      </c>
      <c r="E7" s="1">
        <f>E4+E6-E5</f>
        <v>19190.88</v>
      </c>
    </row>
    <row r="8" spans="1:6" x14ac:dyDescent="0.2">
      <c r="D8" s="9" t="s">
        <v>37</v>
      </c>
      <c r="E8" s="9">
        <f>E2/Sheet2!K31</f>
        <v>20.070363826945119</v>
      </c>
    </row>
    <row r="22" spans="4:5" x14ac:dyDescent="0.2">
      <c r="D22" s="1"/>
      <c r="E22" s="7"/>
    </row>
    <row r="23" spans="4:5" x14ac:dyDescent="0.2">
      <c r="E23" s="7"/>
    </row>
    <row r="24" spans="4:5" x14ac:dyDescent="0.2">
      <c r="E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302D-E6E4-44F9-948E-28184C84453C}">
  <dimension ref="A1:EQ38"/>
  <sheetViews>
    <sheetView workbookViewId="0">
      <pane xSplit="1" ySplit="1" topLeftCell="G13" activePane="bottomRight" state="frozen"/>
      <selection pane="topRight" activeCell="B1" sqref="B1"/>
      <selection pane="bottomLeft" activeCell="A2" sqref="A2"/>
      <selection pane="bottomRight" activeCell="L23" sqref="L23"/>
    </sheetView>
  </sheetViews>
  <sheetFormatPr defaultRowHeight="14.25" x14ac:dyDescent="0.2"/>
  <cols>
    <col min="1" max="1" width="15.85546875" style="1" customWidth="1"/>
    <col min="2" max="16" width="9.140625" style="1"/>
    <col min="17" max="17" width="10.85546875" style="1" bestFit="1" customWidth="1"/>
    <col min="18" max="16384" width="9.140625" style="1"/>
  </cols>
  <sheetData>
    <row r="1" spans="1:121" x14ac:dyDescent="0.2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H1" s="2">
        <f>I1-1</f>
        <v>2022</v>
      </c>
      <c r="I1" s="2">
        <f>J1-1</f>
        <v>2023</v>
      </c>
      <c r="J1" s="2">
        <v>2024</v>
      </c>
      <c r="K1" s="2">
        <f>J1+1</f>
        <v>2025</v>
      </c>
      <c r="L1" s="2">
        <f t="shared" ref="L1:O1" si="0">K1+1</f>
        <v>2026</v>
      </c>
      <c r="M1" s="2">
        <f t="shared" si="0"/>
        <v>2027</v>
      </c>
      <c r="N1" s="2">
        <f t="shared" si="0"/>
        <v>2028</v>
      </c>
      <c r="O1" s="2">
        <f t="shared" si="0"/>
        <v>2029</v>
      </c>
    </row>
    <row r="2" spans="1:121" ht="15" x14ac:dyDescent="0.25">
      <c r="A2" s="3" t="s">
        <v>8</v>
      </c>
      <c r="B2" s="3"/>
      <c r="C2" s="3"/>
      <c r="D2" s="3"/>
      <c r="E2" s="3">
        <v>1154</v>
      </c>
      <c r="F2" s="3">
        <v>850</v>
      </c>
      <c r="G2" s="3"/>
      <c r="H2" s="3">
        <v>2802</v>
      </c>
      <c r="I2" s="3">
        <v>3055</v>
      </c>
      <c r="J2" s="3">
        <v>3646</v>
      </c>
      <c r="K2" s="3">
        <f>J2*1.15</f>
        <v>4192.8999999999996</v>
      </c>
      <c r="L2" s="3">
        <f>K2*1.11</f>
        <v>4654.1189999999997</v>
      </c>
      <c r="M2" s="3">
        <f t="shared" ref="M2:O2" si="1">L2*1.11</f>
        <v>5166.0720899999997</v>
      </c>
      <c r="N2" s="3">
        <f t="shared" si="1"/>
        <v>5734.3400198999998</v>
      </c>
      <c r="O2" s="3">
        <f t="shared" si="1"/>
        <v>6365.1174220890007</v>
      </c>
    </row>
    <row r="3" spans="1:121" x14ac:dyDescent="0.2">
      <c r="A3" s="1" t="s">
        <v>25</v>
      </c>
      <c r="E3" s="1">
        <v>196.9</v>
      </c>
      <c r="F3" s="1">
        <f>E3*F20</f>
        <v>163.42699999999999</v>
      </c>
      <c r="I3" s="1">
        <v>688.76</v>
      </c>
      <c r="J3" s="1">
        <v>750.35500000000002</v>
      </c>
      <c r="K3" s="1">
        <f>K2*(1-K20)</f>
        <v>829.60833249999973</v>
      </c>
      <c r="L3" s="1">
        <f>L2*(1-L20)</f>
        <v>883.53271156574988</v>
      </c>
      <c r="M3" s="1">
        <f>M2*(1-M20)</f>
        <v>938.86780203636226</v>
      </c>
      <c r="N3" s="1">
        <f>N2*(1-N20)</f>
        <v>995.22129266396541</v>
      </c>
      <c r="O3" s="1">
        <f>O2*(1-O20)</f>
        <v>1052.0914169846819</v>
      </c>
    </row>
    <row r="4" spans="1:121" x14ac:dyDescent="0.2">
      <c r="A4" s="1" t="s">
        <v>31</v>
      </c>
      <c r="B4" s="1">
        <f>B2-B3</f>
        <v>0</v>
      </c>
      <c r="C4" s="1">
        <f>C2-C3</f>
        <v>0</v>
      </c>
      <c r="D4" s="1">
        <f>D2-D3</f>
        <v>0</v>
      </c>
      <c r="E4" s="1">
        <f>E2-E3</f>
        <v>957.1</v>
      </c>
      <c r="F4" s="1">
        <f>F2-F3</f>
        <v>686.57299999999998</v>
      </c>
      <c r="H4" s="1">
        <f>H2-H3</f>
        <v>2802</v>
      </c>
      <c r="I4" s="1">
        <f t="shared" ref="I4:O4" si="2">I2-I3</f>
        <v>2366.2399999999998</v>
      </c>
      <c r="J4" s="1">
        <f t="shared" si="2"/>
        <v>2895.645</v>
      </c>
      <c r="K4" s="1">
        <f t="shared" si="2"/>
        <v>3363.2916674999997</v>
      </c>
      <c r="L4" s="1">
        <f t="shared" si="2"/>
        <v>3770.5862884342496</v>
      </c>
      <c r="M4" s="1">
        <f t="shared" si="2"/>
        <v>4227.2042879636374</v>
      </c>
      <c r="N4" s="1">
        <f t="shared" si="2"/>
        <v>4739.1187272360348</v>
      </c>
      <c r="O4" s="1">
        <f t="shared" si="2"/>
        <v>5313.0260051043188</v>
      </c>
    </row>
    <row r="5" spans="1:121" x14ac:dyDescent="0.2">
      <c r="A5" s="1" t="s">
        <v>26</v>
      </c>
      <c r="E5" s="1">
        <v>320.7</v>
      </c>
      <c r="I5" s="1">
        <v>1068.4000000000001</v>
      </c>
      <c r="J5" s="1">
        <v>1240.5640000000001</v>
      </c>
      <c r="K5" s="1">
        <f>J5*1.05</f>
        <v>1302.5922</v>
      </c>
      <c r="L5" s="1">
        <f t="shared" ref="L5:O5" si="3">K5*1.05</f>
        <v>1367.72181</v>
      </c>
      <c r="M5" s="1">
        <f t="shared" si="3"/>
        <v>1436.1079005000001</v>
      </c>
      <c r="N5" s="1">
        <f t="shared" si="3"/>
        <v>1507.9132955250002</v>
      </c>
      <c r="O5" s="1">
        <f t="shared" si="3"/>
        <v>1583.3089603012502</v>
      </c>
    </row>
    <row r="6" spans="1:121" x14ac:dyDescent="0.2">
      <c r="A6" s="1" t="s">
        <v>27</v>
      </c>
      <c r="E6" s="1">
        <v>271.10000000000002</v>
      </c>
      <c r="I6" s="1">
        <v>911.1</v>
      </c>
      <c r="J6" s="1">
        <v>1011.772</v>
      </c>
      <c r="K6" s="1">
        <f>J6*1.05</f>
        <v>1062.3606000000002</v>
      </c>
      <c r="L6" s="1">
        <f t="shared" ref="L6:O6" si="4">K6*1.05</f>
        <v>1115.4786300000003</v>
      </c>
      <c r="M6" s="1">
        <f t="shared" si="4"/>
        <v>1171.2525615000004</v>
      </c>
      <c r="N6" s="1">
        <f t="shared" si="4"/>
        <v>1229.8151895750004</v>
      </c>
      <c r="O6" s="1">
        <f t="shared" si="4"/>
        <v>1291.3059490537505</v>
      </c>
    </row>
    <row r="7" spans="1:121" x14ac:dyDescent="0.2">
      <c r="A7" s="1" t="s">
        <v>28</v>
      </c>
      <c r="E7" s="1">
        <v>103.7</v>
      </c>
      <c r="I7" s="1">
        <v>512.4</v>
      </c>
      <c r="J7" s="1">
        <v>463.65800000000002</v>
      </c>
      <c r="K7" s="1">
        <f>J7*1.01</f>
        <v>468.29458</v>
      </c>
      <c r="L7" s="1">
        <f t="shared" ref="L7:O7" si="5">K7*1.01</f>
        <v>472.97752580000002</v>
      </c>
      <c r="M7" s="1">
        <f t="shared" si="5"/>
        <v>477.70730105800004</v>
      </c>
      <c r="N7" s="1">
        <f t="shared" si="5"/>
        <v>482.48437406858005</v>
      </c>
      <c r="O7" s="1">
        <f t="shared" si="5"/>
        <v>487.30921780926587</v>
      </c>
    </row>
    <row r="8" spans="1:121" x14ac:dyDescent="0.2">
      <c r="A8" s="1" t="s">
        <v>29</v>
      </c>
      <c r="B8" s="1">
        <f>SUM(B5:B7)</f>
        <v>0</v>
      </c>
      <c r="C8" s="1">
        <f t="shared" ref="C8:H8" si="6">SUM(C5:C7)</f>
        <v>0</v>
      </c>
      <c r="D8" s="1">
        <f t="shared" si="6"/>
        <v>0</v>
      </c>
      <c r="E8" s="1">
        <f t="shared" si="6"/>
        <v>695.5</v>
      </c>
      <c r="F8" s="1">
        <f t="shared" si="6"/>
        <v>0</v>
      </c>
      <c r="H8" s="1">
        <f t="shared" si="6"/>
        <v>0</v>
      </c>
      <c r="I8" s="1">
        <f t="shared" ref="I8" si="7">SUM(I5:I7)</f>
        <v>2491.9</v>
      </c>
      <c r="J8" s="1">
        <f t="shared" ref="J8" si="8">SUM(J5:J7)</f>
        <v>2715.9940000000001</v>
      </c>
      <c r="K8" s="1">
        <f>K2*K23</f>
        <v>2967.2234449999996</v>
      </c>
      <c r="L8" s="1">
        <f t="shared" ref="L8:O8" si="9">L2*L23</f>
        <v>3128.9371227524994</v>
      </c>
      <c r="M8" s="1">
        <f t="shared" si="9"/>
        <v>3299.4641959425103</v>
      </c>
      <c r="N8" s="1">
        <f t="shared" si="9"/>
        <v>3479.2849946213769</v>
      </c>
      <c r="O8" s="1">
        <f t="shared" si="9"/>
        <v>3668.9060268282428</v>
      </c>
    </row>
    <row r="9" spans="1:121" x14ac:dyDescent="0.2">
      <c r="A9" s="1" t="s">
        <v>40</v>
      </c>
      <c r="H9" s="1">
        <f>H4-H8</f>
        <v>2802</v>
      </c>
      <c r="I9" s="1">
        <f>I4-I8</f>
        <v>-125.66000000000031</v>
      </c>
      <c r="J9" s="1">
        <f t="shared" ref="J9:O9" si="10">J4-J8</f>
        <v>179.65099999999984</v>
      </c>
      <c r="K9" s="1">
        <f t="shared" si="10"/>
        <v>396.06822250000005</v>
      </c>
      <c r="L9" s="1">
        <f t="shared" si="10"/>
        <v>641.64916568175022</v>
      </c>
      <c r="M9" s="1">
        <f t="shared" si="10"/>
        <v>927.74009202112711</v>
      </c>
      <c r="N9" s="1">
        <f t="shared" si="10"/>
        <v>1259.8337326146579</v>
      </c>
      <c r="O9" s="1">
        <f t="shared" si="10"/>
        <v>1644.1199782760759</v>
      </c>
    </row>
    <row r="10" spans="1:121" x14ac:dyDescent="0.2">
      <c r="A10" s="1" t="s">
        <v>32</v>
      </c>
      <c r="E10" s="1">
        <v>28.6</v>
      </c>
      <c r="I10" s="1">
        <v>105.4</v>
      </c>
      <c r="J10" s="1">
        <v>127</v>
      </c>
      <c r="K10" s="1">
        <f>J32*$R$32</f>
        <v>150.768</v>
      </c>
      <c r="L10" s="1">
        <f>K32*$R$32</f>
        <v>177.34424041350002</v>
      </c>
      <c r="M10" s="1">
        <f>L32*$R$32</f>
        <v>217.14731994972919</v>
      </c>
      <c r="N10" s="1">
        <f>M32*$R$32</f>
        <v>272.78884817151277</v>
      </c>
      <c r="O10" s="1">
        <f>N32*$R$32</f>
        <v>347.27430559772068</v>
      </c>
    </row>
    <row r="11" spans="1:121" x14ac:dyDescent="0.2">
      <c r="A11" s="1" t="s">
        <v>30</v>
      </c>
      <c r="E11" s="1">
        <v>-13.3</v>
      </c>
      <c r="I11" s="1">
        <v>3.8</v>
      </c>
      <c r="J11" s="1">
        <v>-19.215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21" x14ac:dyDescent="0.2">
      <c r="A12" s="1" t="s">
        <v>21</v>
      </c>
      <c r="B12" s="1">
        <f>B4-B8+B11+B10</f>
        <v>0</v>
      </c>
      <c r="C12" s="1">
        <f t="shared" ref="C12:D12" si="11">C4-C8+C11+C10</f>
        <v>0</v>
      </c>
      <c r="D12" s="1">
        <f t="shared" si="11"/>
        <v>0</v>
      </c>
      <c r="E12" s="1">
        <f>E4-E8+E11+E10</f>
        <v>276.90000000000003</v>
      </c>
      <c r="F12" s="1">
        <f>F4-F8+F11+F10</f>
        <v>686.57299999999998</v>
      </c>
      <c r="H12" s="1">
        <f>H9+SUM(H10:H11)</f>
        <v>2802</v>
      </c>
      <c r="I12" s="1">
        <f>I9+SUM(I10:I11)</f>
        <v>-16.460000000000306</v>
      </c>
      <c r="J12" s="1">
        <f t="shared" ref="J12:O12" si="12">J9+SUM(J10:J11)</f>
        <v>287.43599999999981</v>
      </c>
      <c r="K12" s="1">
        <f t="shared" si="12"/>
        <v>546.83622250000008</v>
      </c>
      <c r="L12" s="1">
        <f t="shared" si="12"/>
        <v>818.99340609525029</v>
      </c>
      <c r="M12" s="1">
        <f t="shared" si="12"/>
        <v>1144.8874119708562</v>
      </c>
      <c r="N12" s="1">
        <f t="shared" si="12"/>
        <v>1532.6225807861706</v>
      </c>
      <c r="O12" s="1">
        <f t="shared" si="12"/>
        <v>1991.3942838737967</v>
      </c>
    </row>
    <row r="13" spans="1:121" x14ac:dyDescent="0.2">
      <c r="A13" s="1" t="s">
        <v>22</v>
      </c>
      <c r="E13" s="1">
        <v>-1570.6</v>
      </c>
      <c r="I13" s="1">
        <v>19.170000000000002</v>
      </c>
      <c r="J13" s="1">
        <v>-1574.501</v>
      </c>
      <c r="K13" s="1">
        <f>K12*K25</f>
        <v>103.89888227500002</v>
      </c>
      <c r="L13" s="1">
        <f>L12*L25</f>
        <v>155.60874715809757</v>
      </c>
      <c r="M13" s="1">
        <f>M12*M25</f>
        <v>217.52860827446267</v>
      </c>
      <c r="N13" s="1">
        <f>N12*N25</f>
        <v>291.19829034937243</v>
      </c>
      <c r="O13" s="1">
        <f>O12*O25</f>
        <v>378.36491393602137</v>
      </c>
    </row>
    <row r="14" spans="1:121" s="3" customFormat="1" ht="15" x14ac:dyDescent="0.25">
      <c r="A14" s="3" t="s">
        <v>9</v>
      </c>
      <c r="B14" s="3">
        <f>B12-B13</f>
        <v>0</v>
      </c>
      <c r="C14" s="3">
        <f>C12-C13</f>
        <v>0</v>
      </c>
      <c r="D14" s="3">
        <f>D12-D13</f>
        <v>0</v>
      </c>
      <c r="E14" s="3">
        <f>E12-E13</f>
        <v>1847.5</v>
      </c>
      <c r="F14" s="3">
        <f>F12-F13</f>
        <v>686.57299999999998</v>
      </c>
      <c r="H14" s="3">
        <v>-96</v>
      </c>
      <c r="I14" s="3">
        <v>-35</v>
      </c>
      <c r="J14" s="3">
        <f t="shared" ref="J14:O14" si="13">J12-J13</f>
        <v>1861.9369999999999</v>
      </c>
      <c r="K14" s="3">
        <f t="shared" si="13"/>
        <v>442.93734022500007</v>
      </c>
      <c r="L14" s="3">
        <f t="shared" si="13"/>
        <v>663.38465893715272</v>
      </c>
      <c r="M14" s="3">
        <f t="shared" si="13"/>
        <v>927.35880369639358</v>
      </c>
      <c r="N14" s="3">
        <f t="shared" si="13"/>
        <v>1241.4242904367982</v>
      </c>
      <c r="O14" s="3">
        <f t="shared" si="13"/>
        <v>1613.0293699377753</v>
      </c>
      <c r="P14" s="3">
        <f t="shared" ref="P14:AU14" si="14">O14*(1+$R$33)</f>
        <v>1629.159663637153</v>
      </c>
      <c r="Q14" s="3">
        <f t="shared" si="14"/>
        <v>1645.4512602735247</v>
      </c>
      <c r="R14" s="3">
        <f t="shared" si="14"/>
        <v>1661.90577287626</v>
      </c>
      <c r="S14" s="3">
        <f t="shared" si="14"/>
        <v>1678.5248306050225</v>
      </c>
      <c r="T14" s="3">
        <f t="shared" si="14"/>
        <v>1695.3100789110729</v>
      </c>
      <c r="U14" s="3">
        <f t="shared" si="14"/>
        <v>1712.2631797001836</v>
      </c>
      <c r="V14" s="3">
        <f t="shared" si="14"/>
        <v>1729.3858114971854</v>
      </c>
      <c r="W14" s="3">
        <f t="shared" si="14"/>
        <v>1746.6796696121573</v>
      </c>
      <c r="X14" s="3">
        <f t="shared" si="14"/>
        <v>1764.1464663082788</v>
      </c>
      <c r="Y14" s="3">
        <f t="shared" si="14"/>
        <v>1781.7879309713617</v>
      </c>
      <c r="Z14" s="3">
        <f t="shared" si="14"/>
        <v>1799.6058102810753</v>
      </c>
      <c r="AA14" s="3">
        <f t="shared" si="14"/>
        <v>1817.6018683838861</v>
      </c>
      <c r="AB14" s="3">
        <f t="shared" si="14"/>
        <v>1835.777887067725</v>
      </c>
      <c r="AC14" s="3">
        <f t="shared" si="14"/>
        <v>1854.1356659384023</v>
      </c>
      <c r="AD14" s="3">
        <f t="shared" si="14"/>
        <v>1872.6770225977864</v>
      </c>
      <c r="AE14" s="3">
        <f t="shared" si="14"/>
        <v>1891.4037928237642</v>
      </c>
      <c r="AF14" s="3">
        <f t="shared" si="14"/>
        <v>1910.3178307520018</v>
      </c>
      <c r="AG14" s="3">
        <f t="shared" si="14"/>
        <v>1929.4210090595218</v>
      </c>
      <c r="AH14" s="3">
        <f t="shared" si="14"/>
        <v>1948.715219150117</v>
      </c>
      <c r="AI14" s="3">
        <f t="shared" si="14"/>
        <v>1968.2023713416181</v>
      </c>
      <c r="AJ14" s="3">
        <f t="shared" si="14"/>
        <v>1987.8843950550342</v>
      </c>
      <c r="AK14" s="3">
        <f t="shared" si="14"/>
        <v>2007.7632390055846</v>
      </c>
      <c r="AL14" s="3">
        <f t="shared" si="14"/>
        <v>2027.8408713956405</v>
      </c>
      <c r="AM14" s="3">
        <f t="shared" si="14"/>
        <v>2048.1192801095967</v>
      </c>
      <c r="AN14" s="3">
        <f t="shared" si="14"/>
        <v>2068.6004729106926</v>
      </c>
      <c r="AO14" s="3">
        <f t="shared" si="14"/>
        <v>2089.2864776397996</v>
      </c>
      <c r="AP14" s="3">
        <f t="shared" si="14"/>
        <v>2110.1793424161974</v>
      </c>
      <c r="AQ14" s="3">
        <f t="shared" si="14"/>
        <v>2131.2811358403592</v>
      </c>
      <c r="AR14" s="3">
        <f t="shared" si="14"/>
        <v>2152.5939471987626</v>
      </c>
      <c r="AS14" s="3">
        <f t="shared" si="14"/>
        <v>2174.1198866707505</v>
      </c>
      <c r="AT14" s="3">
        <f t="shared" si="14"/>
        <v>2195.8610855374582</v>
      </c>
      <c r="AU14" s="3">
        <f t="shared" si="14"/>
        <v>2217.8196963928326</v>
      </c>
      <c r="AV14" s="3">
        <f t="shared" ref="AV14:CA14" si="15">AU14*(1+$R$33)</f>
        <v>2239.9978933567609</v>
      </c>
      <c r="AW14" s="3">
        <f t="shared" si="15"/>
        <v>2262.3978722903285</v>
      </c>
      <c r="AX14" s="3">
        <f t="shared" si="15"/>
        <v>2285.0218510132318</v>
      </c>
      <c r="AY14" s="3">
        <f t="shared" si="15"/>
        <v>2307.8720695233642</v>
      </c>
      <c r="AZ14" s="3">
        <f t="shared" si="15"/>
        <v>2330.9507902185978</v>
      </c>
      <c r="BA14" s="3">
        <f t="shared" si="15"/>
        <v>2354.2602981207838</v>
      </c>
      <c r="BB14" s="3">
        <f t="shared" si="15"/>
        <v>2377.8029011019917</v>
      </c>
      <c r="BC14" s="3">
        <f t="shared" si="15"/>
        <v>2401.5809301130116</v>
      </c>
      <c r="BD14" s="3">
        <f t="shared" si="15"/>
        <v>2425.5967394141417</v>
      </c>
      <c r="BE14" s="3">
        <f t="shared" si="15"/>
        <v>2449.8527068082831</v>
      </c>
      <c r="BF14" s="3">
        <f t="shared" si="15"/>
        <v>2474.3512338763658</v>
      </c>
      <c r="BG14" s="3">
        <f t="shared" si="15"/>
        <v>2499.0947462151294</v>
      </c>
      <c r="BH14" s="3">
        <f t="shared" si="15"/>
        <v>2524.0856936772807</v>
      </c>
      <c r="BI14" s="3">
        <f t="shared" si="15"/>
        <v>2549.3265506140533</v>
      </c>
      <c r="BJ14" s="3">
        <f t="shared" si="15"/>
        <v>2574.819816120194</v>
      </c>
      <c r="BK14" s="3">
        <f t="shared" si="15"/>
        <v>2600.5680142813958</v>
      </c>
      <c r="BL14" s="3">
        <f t="shared" si="15"/>
        <v>2626.5736944242099</v>
      </c>
      <c r="BM14" s="3">
        <f t="shared" si="15"/>
        <v>2652.8394313684521</v>
      </c>
      <c r="BN14" s="3">
        <f t="shared" si="15"/>
        <v>2679.3678256821368</v>
      </c>
      <c r="BO14" s="3">
        <f t="shared" si="15"/>
        <v>2706.161503938958</v>
      </c>
      <c r="BP14" s="3">
        <f t="shared" si="15"/>
        <v>2733.2231189783474</v>
      </c>
      <c r="BQ14" s="3">
        <f t="shared" si="15"/>
        <v>2760.5553501681311</v>
      </c>
      <c r="BR14" s="3">
        <f t="shared" si="15"/>
        <v>2788.1609036698123</v>
      </c>
      <c r="BS14" s="3">
        <f t="shared" si="15"/>
        <v>2816.0425127065105</v>
      </c>
      <c r="BT14" s="3">
        <f t="shared" si="15"/>
        <v>2844.2029378335756</v>
      </c>
      <c r="BU14" s="3">
        <f t="shared" si="15"/>
        <v>2872.6449672119115</v>
      </c>
      <c r="BV14" s="3">
        <f t="shared" si="15"/>
        <v>2901.3714168840306</v>
      </c>
      <c r="BW14" s="3">
        <f t="shared" si="15"/>
        <v>2930.3851310528707</v>
      </c>
      <c r="BX14" s="3">
        <f t="shared" si="15"/>
        <v>2959.6889823633996</v>
      </c>
      <c r="BY14" s="3">
        <f t="shared" si="15"/>
        <v>2989.2858721870339</v>
      </c>
      <c r="BZ14" s="3">
        <f t="shared" si="15"/>
        <v>3019.1787309089041</v>
      </c>
      <c r="CA14" s="3">
        <f t="shared" si="15"/>
        <v>3049.3705182179933</v>
      </c>
      <c r="CB14" s="3">
        <f t="shared" ref="CB14:DG14" si="16">CA14*(1+$R$33)</f>
        <v>3079.8642234001732</v>
      </c>
      <c r="CC14" s="3">
        <f t="shared" si="16"/>
        <v>3110.662865634175</v>
      </c>
      <c r="CD14" s="3">
        <f t="shared" si="16"/>
        <v>3141.7694942905168</v>
      </c>
      <c r="CE14" s="3">
        <f t="shared" si="16"/>
        <v>3173.187189233422</v>
      </c>
      <c r="CF14" s="3">
        <f t="shared" si="16"/>
        <v>3204.9190611257563</v>
      </c>
      <c r="CG14" s="3">
        <f t="shared" si="16"/>
        <v>3236.9682517370138</v>
      </c>
      <c r="CH14" s="3">
        <f t="shared" si="16"/>
        <v>3269.337934254384</v>
      </c>
      <c r="CI14" s="3">
        <f t="shared" si="16"/>
        <v>3302.0313135969277</v>
      </c>
      <c r="CJ14" s="3">
        <f t="shared" si="16"/>
        <v>3335.0516267328971</v>
      </c>
      <c r="CK14" s="3">
        <f t="shared" si="16"/>
        <v>3368.4021430002263</v>
      </c>
      <c r="CL14" s="3">
        <f t="shared" si="16"/>
        <v>3402.0861644302286</v>
      </c>
      <c r="CM14" s="3">
        <f t="shared" si="16"/>
        <v>3436.1070260745309</v>
      </c>
      <c r="CN14" s="3">
        <f t="shared" si="16"/>
        <v>3470.4680963352762</v>
      </c>
      <c r="CO14" s="3">
        <f t="shared" si="16"/>
        <v>3505.1727772986292</v>
      </c>
      <c r="CP14" s="3">
        <f t="shared" si="16"/>
        <v>3540.2245050716156</v>
      </c>
      <c r="CQ14" s="3">
        <f t="shared" si="16"/>
        <v>3575.6267501223319</v>
      </c>
      <c r="CR14" s="3">
        <f t="shared" si="16"/>
        <v>3611.3830176235551</v>
      </c>
      <c r="CS14" s="3">
        <f t="shared" si="16"/>
        <v>3647.4968477997909</v>
      </c>
      <c r="CT14" s="3">
        <f t="shared" si="16"/>
        <v>3683.971816277789</v>
      </c>
      <c r="CU14" s="3">
        <f t="shared" si="16"/>
        <v>3720.8115344405669</v>
      </c>
      <c r="CV14" s="3">
        <f t="shared" si="16"/>
        <v>3758.0196497849724</v>
      </c>
      <c r="CW14" s="3">
        <f t="shared" si="16"/>
        <v>3795.599846282822</v>
      </c>
      <c r="CX14" s="3">
        <f t="shared" si="16"/>
        <v>3833.5558447456501</v>
      </c>
      <c r="CY14" s="3">
        <f t="shared" si="16"/>
        <v>3871.8914031931067</v>
      </c>
      <c r="CZ14" s="3">
        <f t="shared" si="16"/>
        <v>3910.6103172250378</v>
      </c>
      <c r="DA14" s="3">
        <f t="shared" si="16"/>
        <v>3949.7164203972879</v>
      </c>
      <c r="DB14" s="3">
        <f t="shared" si="16"/>
        <v>3989.2135846012607</v>
      </c>
      <c r="DC14" s="3">
        <f t="shared" si="16"/>
        <v>4029.1057204472731</v>
      </c>
      <c r="DD14" s="3">
        <f t="shared" si="16"/>
        <v>4069.3967776517461</v>
      </c>
      <c r="DE14" s="3">
        <f t="shared" si="16"/>
        <v>4110.0907454282633</v>
      </c>
      <c r="DF14" s="3">
        <f t="shared" si="16"/>
        <v>4151.1916528825459</v>
      </c>
      <c r="DG14" s="3">
        <f t="shared" si="16"/>
        <v>4192.7035694113711</v>
      </c>
      <c r="DH14" s="3">
        <f t="shared" ref="DH14:DQ14" si="17">DG14*(1+$R$33)</f>
        <v>4234.6306051054844</v>
      </c>
      <c r="DI14" s="3">
        <f t="shared" si="17"/>
        <v>4276.9769111565392</v>
      </c>
      <c r="DJ14" s="3">
        <f t="shared" si="17"/>
        <v>4319.7466802681047</v>
      </c>
      <c r="DK14" s="3">
        <f t="shared" si="17"/>
        <v>4362.9441470707861</v>
      </c>
      <c r="DL14" s="3">
        <f t="shared" si="17"/>
        <v>4406.5735885414942</v>
      </c>
      <c r="DM14" s="3">
        <f t="shared" si="17"/>
        <v>4450.6393244269093</v>
      </c>
      <c r="DN14" s="3">
        <f t="shared" si="17"/>
        <v>4495.1457176711783</v>
      </c>
      <c r="DO14" s="3">
        <f t="shared" si="17"/>
        <v>4540.0971748478905</v>
      </c>
      <c r="DP14" s="3">
        <f t="shared" si="17"/>
        <v>4585.4981465963692</v>
      </c>
      <c r="DQ14" s="3">
        <f t="shared" si="17"/>
        <v>4631.3531280623329</v>
      </c>
    </row>
    <row r="15" spans="1:121" s="3" customFormat="1" ht="15" x14ac:dyDescent="0.25">
      <c r="A15" s="1" t="s">
        <v>2</v>
      </c>
      <c r="J15" s="1">
        <v>678.24</v>
      </c>
      <c r="K15" s="1">
        <v>678.24</v>
      </c>
      <c r="L15" s="1">
        <v>678.24</v>
      </c>
      <c r="M15" s="1">
        <v>678.24</v>
      </c>
      <c r="N15" s="1">
        <v>678.24</v>
      </c>
      <c r="O15" s="1">
        <v>678.24</v>
      </c>
    </row>
    <row r="16" spans="1:121" s="3" customFormat="1" ht="15" x14ac:dyDescent="0.25">
      <c r="A16" s="1" t="s">
        <v>36</v>
      </c>
      <c r="J16" s="7">
        <f>J14/J15</f>
        <v>2.7452479948100965</v>
      </c>
      <c r="K16" s="7">
        <f t="shared" ref="K16:O16" si="18">K14/K15</f>
        <v>0.653068737062102</v>
      </c>
      <c r="L16" s="7">
        <f t="shared" si="18"/>
        <v>0.97809722065515559</v>
      </c>
      <c r="M16" s="7">
        <f t="shared" si="18"/>
        <v>1.3673018455065959</v>
      </c>
      <c r="N16" s="7">
        <f t="shared" si="18"/>
        <v>1.8303613624038662</v>
      </c>
      <c r="O16" s="7">
        <f t="shared" si="18"/>
        <v>2.3782575046263497</v>
      </c>
    </row>
    <row r="17" spans="1:147" x14ac:dyDescent="0.2">
      <c r="H17" s="4"/>
      <c r="I17" s="4"/>
      <c r="J17" s="4"/>
      <c r="K17" s="4"/>
      <c r="L17" s="4"/>
      <c r="M17" s="4"/>
      <c r="N17" s="4"/>
      <c r="O17" s="4"/>
    </row>
    <row r="18" spans="1:147" ht="15" x14ac:dyDescent="0.25">
      <c r="A18" s="3" t="s">
        <v>42</v>
      </c>
      <c r="B18" s="3"/>
      <c r="C18" s="3"/>
      <c r="D18" s="3"/>
      <c r="E18" s="3"/>
      <c r="F18" s="3"/>
      <c r="G18" s="3"/>
      <c r="H18" s="3"/>
      <c r="I18" s="5">
        <f t="shared" ref="I18:O18" si="19">I2/H2-1</f>
        <v>9.0292648108494022E-2</v>
      </c>
      <c r="J18" s="5">
        <f t="shared" si="19"/>
        <v>0.1934533551554829</v>
      </c>
      <c r="K18" s="5">
        <f t="shared" si="19"/>
        <v>0.14999999999999991</v>
      </c>
      <c r="L18" s="5">
        <f t="shared" si="19"/>
        <v>0.1100000000000001</v>
      </c>
      <c r="M18" s="5">
        <f t="shared" si="19"/>
        <v>0.1100000000000001</v>
      </c>
      <c r="N18" s="5">
        <f t="shared" si="19"/>
        <v>0.1100000000000001</v>
      </c>
      <c r="O18" s="5">
        <f t="shared" si="19"/>
        <v>0.1100000000000001</v>
      </c>
    </row>
    <row r="19" spans="1:147" ht="15" x14ac:dyDescent="0.25">
      <c r="A19" s="3"/>
      <c r="B19" s="3"/>
      <c r="C19" s="3"/>
      <c r="D19" s="3"/>
      <c r="E19" s="3"/>
      <c r="F19" s="3"/>
      <c r="G19" s="3"/>
      <c r="H19" s="3"/>
      <c r="I19" s="5"/>
      <c r="J19" s="5"/>
      <c r="K19" s="5"/>
      <c r="L19" s="5"/>
      <c r="M19" s="5"/>
      <c r="N19" s="5"/>
      <c r="O19" s="5"/>
    </row>
    <row r="20" spans="1:147" x14ac:dyDescent="0.2">
      <c r="A20" s="1" t="s">
        <v>10</v>
      </c>
      <c r="B20" s="4" t="e">
        <f>B4/B2</f>
        <v>#DIV/0!</v>
      </c>
      <c r="C20" s="4" t="e">
        <f>C4/C2</f>
        <v>#DIV/0!</v>
      </c>
      <c r="D20" s="4" t="e">
        <f>D4/D2</f>
        <v>#DIV/0!</v>
      </c>
      <c r="E20" s="4">
        <f>E4/E2</f>
        <v>0.82937608318890821</v>
      </c>
      <c r="F20" s="4">
        <v>0.83</v>
      </c>
      <c r="H20" s="4">
        <f>H4/H2</f>
        <v>1</v>
      </c>
      <c r="I20" s="4">
        <f>I4/I2</f>
        <v>0.77454664484451707</v>
      </c>
      <c r="J20" s="4">
        <f>J4/J2</f>
        <v>0.79419775095995615</v>
      </c>
      <c r="K20" s="4">
        <f>J20*1.01</f>
        <v>0.80213972846955572</v>
      </c>
      <c r="L20" s="4">
        <f t="shared" ref="L20:O20" si="20">K20*1.01</f>
        <v>0.81016112575425125</v>
      </c>
      <c r="M20" s="4">
        <f t="shared" si="20"/>
        <v>0.81826273701179375</v>
      </c>
      <c r="N20" s="4">
        <f t="shared" si="20"/>
        <v>0.82644536438191174</v>
      </c>
      <c r="O20" s="4">
        <f t="shared" si="20"/>
        <v>0.83470981802573085</v>
      </c>
    </row>
    <row r="21" spans="1:147" x14ac:dyDescent="0.2">
      <c r="A21" s="1" t="s">
        <v>39</v>
      </c>
      <c r="E21" s="4"/>
      <c r="F21" s="4"/>
      <c r="H21" s="4">
        <f t="shared" ref="H21:O21" si="21">H9/H2</f>
        <v>1</v>
      </c>
      <c r="I21" s="4">
        <f t="shared" si="21"/>
        <v>-4.1132569558101573E-2</v>
      </c>
      <c r="J21" s="4">
        <f t="shared" si="21"/>
        <v>4.9273450356555087E-2</v>
      </c>
      <c r="K21" s="4">
        <f t="shared" si="21"/>
        <v>9.4461642896324763E-2</v>
      </c>
      <c r="L21" s="4">
        <f t="shared" si="21"/>
        <v>0.13786694445968189</v>
      </c>
      <c r="M21" s="4">
        <f t="shared" si="21"/>
        <v>0.17958326478195297</v>
      </c>
      <c r="N21" s="4">
        <f t="shared" si="21"/>
        <v>0.21969986576356315</v>
      </c>
      <c r="O21" s="4">
        <f t="shared" si="21"/>
        <v>0.25830159433829952</v>
      </c>
    </row>
    <row r="22" spans="1:147" x14ac:dyDescent="0.2">
      <c r="A22" s="1" t="s">
        <v>38</v>
      </c>
      <c r="E22" s="4"/>
      <c r="F22" s="4"/>
      <c r="H22" s="4">
        <f>H29/H2</f>
        <v>0.12169878658101356</v>
      </c>
      <c r="I22" s="4">
        <f>I29/I2</f>
        <v>0.18854337152209494</v>
      </c>
      <c r="J22" s="4">
        <f>J29/J2</f>
        <v>0.20405924300603401</v>
      </c>
      <c r="K22" s="4">
        <f>J22*1.01</f>
        <v>0.20609983543609434</v>
      </c>
      <c r="L22" s="4">
        <f t="shared" ref="L22:O22" si="22">K22*1.05</f>
        <v>0.21640482720789905</v>
      </c>
      <c r="M22" s="4">
        <f t="shared" si="22"/>
        <v>0.22722506856829403</v>
      </c>
      <c r="N22" s="4">
        <f t="shared" si="22"/>
        <v>0.23858632199670873</v>
      </c>
      <c r="O22" s="4">
        <f t="shared" si="22"/>
        <v>0.2505156380965442</v>
      </c>
    </row>
    <row r="23" spans="1:147" x14ac:dyDescent="0.2">
      <c r="A23" s="1" t="s">
        <v>41</v>
      </c>
      <c r="E23" s="4"/>
      <c r="F23" s="4"/>
      <c r="H23" s="4">
        <f>H8/H2</f>
        <v>0</v>
      </c>
      <c r="I23" s="4">
        <f t="shared" ref="I23:J23" si="23">I8/I2</f>
        <v>0.8156792144026187</v>
      </c>
      <c r="J23" s="4">
        <f t="shared" si="23"/>
        <v>0.74492430060340098</v>
      </c>
      <c r="K23" s="4">
        <f>J23*0.95</f>
        <v>0.70767808557323086</v>
      </c>
      <c r="L23" s="4">
        <f t="shared" ref="L23:O23" si="24">K23*0.95</f>
        <v>0.6722941812945693</v>
      </c>
      <c r="M23" s="4">
        <f t="shared" si="24"/>
        <v>0.63867947222984078</v>
      </c>
      <c r="N23" s="4">
        <f t="shared" si="24"/>
        <v>0.6067454986183487</v>
      </c>
      <c r="O23" s="4">
        <f t="shared" si="24"/>
        <v>0.57640822368743128</v>
      </c>
      <c r="R23" s="4"/>
    </row>
    <row r="24" spans="1:147" x14ac:dyDescent="0.2">
      <c r="H24" s="4"/>
      <c r="I24" s="4"/>
      <c r="J24" s="4"/>
      <c r="K24" s="4"/>
      <c r="L24" s="4"/>
      <c r="M24" s="4"/>
      <c r="N24" s="4"/>
      <c r="O24" s="4"/>
    </row>
    <row r="25" spans="1:147" x14ac:dyDescent="0.2">
      <c r="A25" s="1" t="s">
        <v>23</v>
      </c>
      <c r="E25" s="4">
        <v>0.21</v>
      </c>
      <c r="F25" s="4">
        <v>0.21</v>
      </c>
      <c r="H25" s="4">
        <f>H13/H12</f>
        <v>0</v>
      </c>
      <c r="I25" s="4">
        <f>I13/I12</f>
        <v>-1.1646415552855192</v>
      </c>
      <c r="J25" s="4">
        <f>J13/J12</f>
        <v>-5.4777446109742725</v>
      </c>
      <c r="K25" s="4">
        <v>0.19</v>
      </c>
      <c r="L25" s="4">
        <v>0.19</v>
      </c>
      <c r="M25" s="4">
        <v>0.19</v>
      </c>
      <c r="N25" s="4">
        <v>0.19</v>
      </c>
      <c r="O25" s="4">
        <v>0.19</v>
      </c>
    </row>
    <row r="26" spans="1:147" x14ac:dyDescent="0.2">
      <c r="H26" s="4">
        <f>H27/H2</f>
        <v>0.16738044254104212</v>
      </c>
      <c r="I26" s="4">
        <f>I27/I2</f>
        <v>0.20065466448445171</v>
      </c>
      <c r="J26" s="4">
        <f>J27/J2</f>
        <v>0.26467361492046076</v>
      </c>
      <c r="K26" s="4">
        <f>J26*1.05</f>
        <v>0.27790729566648381</v>
      </c>
      <c r="L26" s="4">
        <f t="shared" ref="L26:O26" si="25">K26*1.05</f>
        <v>0.29180266044980802</v>
      </c>
      <c r="M26" s="4">
        <f t="shared" si="25"/>
        <v>0.30639279347229842</v>
      </c>
      <c r="N26" s="4">
        <f t="shared" si="25"/>
        <v>0.32171243314591336</v>
      </c>
      <c r="O26" s="4">
        <f t="shared" si="25"/>
        <v>0.33779805480320901</v>
      </c>
    </row>
    <row r="27" spans="1:147" x14ac:dyDescent="0.2">
      <c r="A27" s="1" t="s">
        <v>11</v>
      </c>
      <c r="H27" s="1">
        <v>469</v>
      </c>
      <c r="I27" s="1">
        <v>613</v>
      </c>
      <c r="J27" s="1">
        <v>965</v>
      </c>
      <c r="K27" s="1">
        <f>K26*K2</f>
        <v>1165.2375</v>
      </c>
      <c r="L27" s="1">
        <f t="shared" ref="L27:O27" si="26">L26*L2</f>
        <v>1358.0843062500001</v>
      </c>
      <c r="M27" s="1">
        <f t="shared" si="26"/>
        <v>1582.8472589343748</v>
      </c>
      <c r="N27" s="1">
        <f t="shared" si="26"/>
        <v>1844.8084802880142</v>
      </c>
      <c r="O27" s="1">
        <f t="shared" si="26"/>
        <v>2150.1242837756809</v>
      </c>
    </row>
    <row r="28" spans="1:147" x14ac:dyDescent="0.2">
      <c r="A28" s="1" t="s">
        <v>33</v>
      </c>
      <c r="H28" s="1">
        <v>128</v>
      </c>
      <c r="I28" s="1">
        <v>37</v>
      </c>
      <c r="J28" s="1">
        <v>221</v>
      </c>
      <c r="K28" s="1">
        <f>K2*0.02</f>
        <v>83.85799999999999</v>
      </c>
      <c r="L28" s="1">
        <f t="shared" ref="L28:O28" si="27">L2*0.02</f>
        <v>93.082380000000001</v>
      </c>
      <c r="M28" s="1">
        <f t="shared" si="27"/>
        <v>103.3214418</v>
      </c>
      <c r="N28" s="1">
        <f t="shared" si="27"/>
        <v>114.686800398</v>
      </c>
      <c r="O28" s="1">
        <f t="shared" si="27"/>
        <v>127.30234844178001</v>
      </c>
    </row>
    <row r="29" spans="1:147" ht="15" x14ac:dyDescent="0.25">
      <c r="A29" s="3" t="s">
        <v>7</v>
      </c>
      <c r="B29" s="3">
        <f>B27-B28</f>
        <v>0</v>
      </c>
      <c r="C29" s="3">
        <f>C27-C28</f>
        <v>0</v>
      </c>
      <c r="D29" s="3">
        <f>D27-D28</f>
        <v>0</v>
      </c>
      <c r="E29" s="3">
        <f>E27-E28</f>
        <v>0</v>
      </c>
      <c r="F29" s="3">
        <f>F27-F28</f>
        <v>0</v>
      </c>
      <c r="G29" s="3"/>
      <c r="H29" s="3">
        <f>H27-H28</f>
        <v>341</v>
      </c>
      <c r="I29" s="3">
        <f>I27-I28</f>
        <v>576</v>
      </c>
      <c r="J29" s="3">
        <f>J27-J28</f>
        <v>744</v>
      </c>
      <c r="K29" s="3">
        <f>K27-K28</f>
        <v>1081.3795</v>
      </c>
      <c r="L29" s="3">
        <f t="shared" ref="L29:O29" si="28">L27-L28</f>
        <v>1265.00192625</v>
      </c>
      <c r="M29" s="3">
        <f t="shared" si="28"/>
        <v>1479.5258171343748</v>
      </c>
      <c r="N29" s="3">
        <f t="shared" si="28"/>
        <v>1730.1216798900141</v>
      </c>
      <c r="O29" s="3">
        <f t="shared" si="28"/>
        <v>2022.8219353339009</v>
      </c>
      <c r="P29" s="3">
        <f t="shared" ref="P29:AU29" si="29">O29*(1+$R$33)</f>
        <v>2043.0501546872399</v>
      </c>
      <c r="Q29" s="3">
        <f t="shared" si="29"/>
        <v>2063.4806562341123</v>
      </c>
      <c r="R29" s="3">
        <f t="shared" si="29"/>
        <v>2084.1154627964534</v>
      </c>
      <c r="S29" s="3">
        <f t="shared" si="29"/>
        <v>2104.9566174244178</v>
      </c>
      <c r="T29" s="3">
        <f t="shared" si="29"/>
        <v>2126.0061835986621</v>
      </c>
      <c r="U29" s="3">
        <f t="shared" si="29"/>
        <v>2147.2662454346487</v>
      </c>
      <c r="V29" s="3">
        <f t="shared" si="29"/>
        <v>2168.7389078889951</v>
      </c>
      <c r="W29" s="3">
        <f t="shared" si="29"/>
        <v>2190.4262969678853</v>
      </c>
      <c r="X29" s="3">
        <f t="shared" si="29"/>
        <v>2212.330559937564</v>
      </c>
      <c r="Y29" s="3">
        <f t="shared" si="29"/>
        <v>2234.4538655369397</v>
      </c>
      <c r="Z29" s="3">
        <f t="shared" si="29"/>
        <v>2256.7984041923091</v>
      </c>
      <c r="AA29" s="3">
        <f t="shared" si="29"/>
        <v>2279.3663882342321</v>
      </c>
      <c r="AB29" s="3">
        <f t="shared" si="29"/>
        <v>2302.1600521165742</v>
      </c>
      <c r="AC29" s="3">
        <f t="shared" si="29"/>
        <v>2325.1816526377402</v>
      </c>
      <c r="AD29" s="3">
        <f t="shared" si="29"/>
        <v>2348.4334691641175</v>
      </c>
      <c r="AE29" s="3">
        <f t="shared" si="29"/>
        <v>2371.9178038557588</v>
      </c>
      <c r="AF29" s="3">
        <f t="shared" si="29"/>
        <v>2395.6369818943162</v>
      </c>
      <c r="AG29" s="3">
        <f t="shared" si="29"/>
        <v>2419.5933517132594</v>
      </c>
      <c r="AH29" s="3">
        <f t="shared" si="29"/>
        <v>2443.7892852303921</v>
      </c>
      <c r="AI29" s="3">
        <f t="shared" si="29"/>
        <v>2468.2271780826959</v>
      </c>
      <c r="AJ29" s="3">
        <f t="shared" si="29"/>
        <v>2492.9094498635227</v>
      </c>
      <c r="AK29" s="3">
        <f t="shared" si="29"/>
        <v>2517.8385443621578</v>
      </c>
      <c r="AL29" s="3">
        <f t="shared" si="29"/>
        <v>2543.0169298057795</v>
      </c>
      <c r="AM29" s="3">
        <f t="shared" si="29"/>
        <v>2568.4470991038374</v>
      </c>
      <c r="AN29" s="3">
        <f t="shared" si="29"/>
        <v>2594.1315700948758</v>
      </c>
      <c r="AO29" s="3">
        <f t="shared" si="29"/>
        <v>2620.0728857958247</v>
      </c>
      <c r="AP29" s="3">
        <f t="shared" si="29"/>
        <v>2646.2736146537832</v>
      </c>
      <c r="AQ29" s="3">
        <f t="shared" si="29"/>
        <v>2672.7363508003209</v>
      </c>
      <c r="AR29" s="3">
        <f t="shared" si="29"/>
        <v>2699.4637143083241</v>
      </c>
      <c r="AS29" s="3">
        <f t="shared" si="29"/>
        <v>2726.4583514514075</v>
      </c>
      <c r="AT29" s="3">
        <f t="shared" si="29"/>
        <v>2753.7229349659215</v>
      </c>
      <c r="AU29" s="3">
        <f t="shared" si="29"/>
        <v>2781.2601643155808</v>
      </c>
      <c r="AV29" s="3">
        <f t="shared" ref="AV29:CA29" si="30">AU29*(1+$R$33)</f>
        <v>2809.0727659587365</v>
      </c>
      <c r="AW29" s="3">
        <f t="shared" si="30"/>
        <v>2837.1634936183236</v>
      </c>
      <c r="AX29" s="3">
        <f t="shared" si="30"/>
        <v>2865.5351285545071</v>
      </c>
      <c r="AY29" s="3">
        <f t="shared" si="30"/>
        <v>2894.1904798400524</v>
      </c>
      <c r="AZ29" s="3">
        <f t="shared" si="30"/>
        <v>2923.132384638453</v>
      </c>
      <c r="BA29" s="3">
        <f t="shared" si="30"/>
        <v>2952.3637084848374</v>
      </c>
      <c r="BB29" s="3">
        <f t="shared" si="30"/>
        <v>2981.8873455696857</v>
      </c>
      <c r="BC29" s="3">
        <f t="shared" si="30"/>
        <v>3011.7062190253828</v>
      </c>
      <c r="BD29" s="3">
        <f t="shared" si="30"/>
        <v>3041.8232812156366</v>
      </c>
      <c r="BE29" s="3">
        <f t="shared" si="30"/>
        <v>3072.2415140277931</v>
      </c>
      <c r="BF29" s="3">
        <f t="shared" si="30"/>
        <v>3102.963929168071</v>
      </c>
      <c r="BG29" s="3">
        <f t="shared" si="30"/>
        <v>3133.9935684597517</v>
      </c>
      <c r="BH29" s="3">
        <f t="shared" si="30"/>
        <v>3165.3335041443493</v>
      </c>
      <c r="BI29" s="3">
        <f t="shared" si="30"/>
        <v>3196.9868391857926</v>
      </c>
      <c r="BJ29" s="3">
        <f t="shared" si="30"/>
        <v>3228.9567075776504</v>
      </c>
      <c r="BK29" s="3">
        <f t="shared" si="30"/>
        <v>3261.246274653427</v>
      </c>
      <c r="BL29" s="3">
        <f t="shared" si="30"/>
        <v>3293.8587373999612</v>
      </c>
      <c r="BM29" s="3">
        <f t="shared" si="30"/>
        <v>3326.797324773961</v>
      </c>
      <c r="BN29" s="3">
        <f t="shared" si="30"/>
        <v>3360.0652980217005</v>
      </c>
      <c r="BO29" s="3">
        <f t="shared" si="30"/>
        <v>3393.6659510019176</v>
      </c>
      <c r="BP29" s="3">
        <f t="shared" si="30"/>
        <v>3427.6026105119367</v>
      </c>
      <c r="BQ29" s="3">
        <f t="shared" si="30"/>
        <v>3461.8786366170561</v>
      </c>
      <c r="BR29" s="3">
        <f t="shared" si="30"/>
        <v>3496.4974229832269</v>
      </c>
      <c r="BS29" s="3">
        <f t="shared" si="30"/>
        <v>3531.4623972130594</v>
      </c>
      <c r="BT29" s="3">
        <f t="shared" si="30"/>
        <v>3566.7770211851898</v>
      </c>
      <c r="BU29" s="3">
        <f t="shared" si="30"/>
        <v>3602.4447913970416</v>
      </c>
      <c r="BV29" s="3">
        <f t="shared" si="30"/>
        <v>3638.4692393110122</v>
      </c>
      <c r="BW29" s="3">
        <f t="shared" si="30"/>
        <v>3674.8539317041223</v>
      </c>
      <c r="BX29" s="3">
        <f t="shared" si="30"/>
        <v>3711.6024710211636</v>
      </c>
      <c r="BY29" s="3">
        <f t="shared" si="30"/>
        <v>3748.7184957313752</v>
      </c>
      <c r="BZ29" s="3">
        <f t="shared" si="30"/>
        <v>3786.205680688689</v>
      </c>
      <c r="CA29" s="3">
        <f t="shared" si="30"/>
        <v>3824.0677374955758</v>
      </c>
      <c r="CB29" s="3">
        <f t="shared" ref="CB29:DG29" si="31">CA29*(1+$R$33)</f>
        <v>3862.3084148705316</v>
      </c>
      <c r="CC29" s="3">
        <f t="shared" si="31"/>
        <v>3900.931499019237</v>
      </c>
      <c r="CD29" s="3">
        <f t="shared" si="31"/>
        <v>3939.9408140094292</v>
      </c>
      <c r="CE29" s="3">
        <f t="shared" si="31"/>
        <v>3979.3402221495235</v>
      </c>
      <c r="CF29" s="3">
        <f t="shared" si="31"/>
        <v>4019.1336243710189</v>
      </c>
      <c r="CG29" s="3">
        <f t="shared" si="31"/>
        <v>4059.3249606147292</v>
      </c>
      <c r="CH29" s="3">
        <f t="shared" si="31"/>
        <v>4099.918210220877</v>
      </c>
      <c r="CI29" s="3">
        <f t="shared" si="31"/>
        <v>4140.9173923230856</v>
      </c>
      <c r="CJ29" s="3">
        <f t="shared" si="31"/>
        <v>4182.3265662463164</v>
      </c>
      <c r="CK29" s="3">
        <f t="shared" si="31"/>
        <v>4224.1498319087796</v>
      </c>
      <c r="CL29" s="3">
        <f t="shared" si="31"/>
        <v>4266.391330227867</v>
      </c>
      <c r="CM29" s="3">
        <f t="shared" si="31"/>
        <v>4309.0552435301461</v>
      </c>
      <c r="CN29" s="3">
        <f t="shared" si="31"/>
        <v>4352.1457959654472</v>
      </c>
      <c r="CO29" s="3">
        <f t="shared" si="31"/>
        <v>4395.6672539251012</v>
      </c>
      <c r="CP29" s="3">
        <f t="shared" si="31"/>
        <v>4439.6239264643527</v>
      </c>
      <c r="CQ29" s="3">
        <f t="shared" si="31"/>
        <v>4484.0201657289963</v>
      </c>
      <c r="CR29" s="3">
        <f t="shared" si="31"/>
        <v>4528.8603673862863</v>
      </c>
      <c r="CS29" s="3">
        <f t="shared" si="31"/>
        <v>4574.1489710601491</v>
      </c>
      <c r="CT29" s="3">
        <f t="shared" si="31"/>
        <v>4619.8904607707509</v>
      </c>
      <c r="CU29" s="3">
        <f t="shared" si="31"/>
        <v>4666.0893653784588</v>
      </c>
      <c r="CV29" s="3">
        <f t="shared" si="31"/>
        <v>4712.7502590322438</v>
      </c>
      <c r="CW29" s="3">
        <f t="shared" si="31"/>
        <v>4759.8777616225661</v>
      </c>
      <c r="CX29" s="3">
        <f t="shared" si="31"/>
        <v>4807.4765392387917</v>
      </c>
      <c r="CY29" s="3">
        <f t="shared" si="31"/>
        <v>4855.5513046311798</v>
      </c>
      <c r="CZ29" s="3">
        <f t="shared" si="31"/>
        <v>4904.1068176774916</v>
      </c>
      <c r="DA29" s="3">
        <f t="shared" si="31"/>
        <v>4953.1478858542669</v>
      </c>
      <c r="DB29" s="3">
        <f t="shared" si="31"/>
        <v>5002.6793647128097</v>
      </c>
      <c r="DC29" s="3">
        <f t="shared" si="31"/>
        <v>5052.7061583599379</v>
      </c>
      <c r="DD29" s="3">
        <f t="shared" si="31"/>
        <v>5103.2332199435377</v>
      </c>
      <c r="DE29" s="3">
        <f t="shared" si="31"/>
        <v>5154.2655521429733</v>
      </c>
      <c r="DF29" s="3">
        <f t="shared" si="31"/>
        <v>5205.8082076644032</v>
      </c>
      <c r="DG29" s="3">
        <f t="shared" si="31"/>
        <v>5257.8662897410477</v>
      </c>
      <c r="DH29" s="3">
        <f t="shared" ref="DH29:EQ29" si="32">DG29*(1+$R$33)</f>
        <v>5310.4449526384578</v>
      </c>
      <c r="DI29" s="3">
        <f t="shared" si="32"/>
        <v>5363.5494021648428</v>
      </c>
      <c r="DJ29" s="3">
        <f t="shared" si="32"/>
        <v>5417.1848961864916</v>
      </c>
      <c r="DK29" s="3">
        <f t="shared" si="32"/>
        <v>5471.3567451483568</v>
      </c>
      <c r="DL29" s="3">
        <f t="shared" si="32"/>
        <v>5526.0703125998407</v>
      </c>
      <c r="DM29" s="3">
        <f t="shared" si="32"/>
        <v>5581.3310157258393</v>
      </c>
      <c r="DN29" s="3">
        <f t="shared" si="32"/>
        <v>5637.1443258830977</v>
      </c>
      <c r="DO29" s="3">
        <f t="shared" si="32"/>
        <v>5693.515769141929</v>
      </c>
      <c r="DP29" s="3">
        <f t="shared" si="32"/>
        <v>5750.4509268333486</v>
      </c>
      <c r="DQ29" s="3">
        <f t="shared" si="32"/>
        <v>5807.9554361016817</v>
      </c>
      <c r="DR29" s="3">
        <f t="shared" si="32"/>
        <v>5866.0349904626983</v>
      </c>
      <c r="DS29" s="3">
        <f t="shared" si="32"/>
        <v>5924.6953403673251</v>
      </c>
      <c r="DT29" s="3">
        <f t="shared" si="32"/>
        <v>5983.9422937709987</v>
      </c>
      <c r="DU29" s="3">
        <f t="shared" si="32"/>
        <v>6043.7817167087087</v>
      </c>
      <c r="DV29" s="3">
        <f t="shared" si="32"/>
        <v>6104.2195338757956</v>
      </c>
      <c r="DW29" s="3">
        <f t="shared" si="32"/>
        <v>6165.2617292145533</v>
      </c>
      <c r="DX29" s="3">
        <f t="shared" si="32"/>
        <v>6226.9143465066991</v>
      </c>
      <c r="DY29" s="3">
        <f t="shared" si="32"/>
        <v>6289.183489971766</v>
      </c>
      <c r="DZ29" s="3">
        <f t="shared" si="32"/>
        <v>6352.0753248714836</v>
      </c>
      <c r="EA29" s="3">
        <f t="shared" si="32"/>
        <v>6415.5960781201984</v>
      </c>
      <c r="EB29" s="3">
        <f t="shared" si="32"/>
        <v>6479.7520389014007</v>
      </c>
      <c r="EC29" s="3">
        <f t="shared" si="32"/>
        <v>6544.5495592904144</v>
      </c>
      <c r="ED29" s="3">
        <f t="shared" si="32"/>
        <v>6609.9950548833185</v>
      </c>
      <c r="EE29" s="3">
        <f t="shared" si="32"/>
        <v>6676.095005432152</v>
      </c>
      <c r="EF29" s="3">
        <f t="shared" si="32"/>
        <v>6742.8559554864732</v>
      </c>
      <c r="EG29" s="3">
        <f t="shared" si="32"/>
        <v>6810.2845150413377</v>
      </c>
      <c r="EH29" s="3">
        <f t="shared" si="32"/>
        <v>6878.3873601917512</v>
      </c>
      <c r="EI29" s="3">
        <f t="shared" si="32"/>
        <v>6947.1712337936688</v>
      </c>
      <c r="EJ29" s="3">
        <f t="shared" si="32"/>
        <v>7016.6429461316056</v>
      </c>
      <c r="EK29" s="3">
        <f t="shared" si="32"/>
        <v>7086.8093755929222</v>
      </c>
      <c r="EL29" s="3">
        <f t="shared" si="32"/>
        <v>7157.6774693488514</v>
      </c>
      <c r="EM29" s="3">
        <f t="shared" si="32"/>
        <v>7229.2542440423404</v>
      </c>
      <c r="EN29" s="3">
        <f t="shared" si="32"/>
        <v>7301.5467864827642</v>
      </c>
      <c r="EO29" s="3">
        <f t="shared" si="32"/>
        <v>7374.562254347592</v>
      </c>
      <c r="EP29" s="3">
        <f t="shared" si="32"/>
        <v>7448.3078768910682</v>
      </c>
      <c r="EQ29" s="3">
        <f t="shared" si="32"/>
        <v>7522.7909556599789</v>
      </c>
    </row>
    <row r="30" spans="1:147" x14ac:dyDescent="0.2">
      <c r="H30" s="4"/>
      <c r="I30" s="4"/>
      <c r="J30" s="4"/>
      <c r="K30" s="4"/>
      <c r="L30" s="4"/>
      <c r="M30" s="4"/>
      <c r="N30" s="4"/>
      <c r="O30" s="4"/>
    </row>
    <row r="31" spans="1:147" x14ac:dyDescent="0.2">
      <c r="H31" s="4"/>
      <c r="I31" s="4"/>
      <c r="J31" s="7">
        <f t="shared" ref="J31:O31" si="33">J29/J15</f>
        <v>1.0969568294409058</v>
      </c>
      <c r="K31" s="7">
        <f t="shared" si="33"/>
        <v>1.5943906286860108</v>
      </c>
      <c r="L31" s="7">
        <f t="shared" si="33"/>
        <v>1.8651243309890304</v>
      </c>
      <c r="M31" s="7">
        <f t="shared" si="33"/>
        <v>2.1814192868813027</v>
      </c>
      <c r="N31" s="7">
        <f t="shared" si="33"/>
        <v>2.5508989146762415</v>
      </c>
      <c r="O31" s="7">
        <f t="shared" si="33"/>
        <v>2.9824574418110124</v>
      </c>
    </row>
    <row r="32" spans="1:147" x14ac:dyDescent="0.2">
      <c r="A32" s="1" t="s">
        <v>34</v>
      </c>
      <c r="J32" s="1">
        <f>J34-J36</f>
        <v>2512.8000000000002</v>
      </c>
      <c r="K32" s="1">
        <f>J32+K14</f>
        <v>2955.7373402250005</v>
      </c>
      <c r="L32" s="1">
        <f>K32+L14</f>
        <v>3619.1219991621533</v>
      </c>
      <c r="M32" s="1">
        <f>L32+M14</f>
        <v>4546.4808028585467</v>
      </c>
      <c r="N32" s="1">
        <f>M32+N14</f>
        <v>5787.9050932953451</v>
      </c>
      <c r="O32" s="1">
        <f>N32+O14</f>
        <v>7400.9344632331204</v>
      </c>
      <c r="Q32" s="1" t="s">
        <v>35</v>
      </c>
      <c r="R32" s="4">
        <v>0.06</v>
      </c>
    </row>
    <row r="33" spans="1:18" x14ac:dyDescent="0.2">
      <c r="Q33" s="1" t="s">
        <v>17</v>
      </c>
      <c r="R33" s="4">
        <v>0.01</v>
      </c>
    </row>
    <row r="34" spans="1:18" x14ac:dyDescent="0.2">
      <c r="A34" s="1" t="s">
        <v>4</v>
      </c>
      <c r="J34" s="1">
        <f>1136.4+1376.4</f>
        <v>2512.8000000000002</v>
      </c>
      <c r="Q34" s="1" t="s">
        <v>18</v>
      </c>
      <c r="R34" s="6">
        <v>8.5000000000000006E-2</v>
      </c>
    </row>
    <row r="35" spans="1:18" x14ac:dyDescent="0.2">
      <c r="Q35" s="1" t="s">
        <v>19</v>
      </c>
      <c r="R35" s="1">
        <f>NPV(R34,K29:EQ29)+Sheet1!E5-Sheet1!E6</f>
        <v>26450.902010726961</v>
      </c>
    </row>
    <row r="36" spans="1:18" x14ac:dyDescent="0.2">
      <c r="A36" s="1" t="s">
        <v>5</v>
      </c>
      <c r="J36" s="1">
        <v>0</v>
      </c>
      <c r="Q36" s="1" t="s">
        <v>1</v>
      </c>
      <c r="R36" s="1">
        <f>R35/Sheet1!E3</f>
        <v>38.999324738627863</v>
      </c>
    </row>
    <row r="37" spans="1:18" x14ac:dyDescent="0.2">
      <c r="Q37" s="1" t="s">
        <v>20</v>
      </c>
      <c r="R37" s="4">
        <f>R36/Sheet1!E2-1</f>
        <v>0.2187288980821207</v>
      </c>
    </row>
    <row r="38" spans="1:18" x14ac:dyDescent="0.2">
      <c r="A38" s="1" t="s">
        <v>24</v>
      </c>
      <c r="E38" s="1">
        <v>553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2025-02-23T08:30:41Z</dcterms:created>
  <dcterms:modified xsi:type="dcterms:W3CDTF">2025-05-20T05:28:25Z</dcterms:modified>
</cp:coreProperties>
</file>