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7D4799C-3561-426F-AD50-5DD244CDDFC8}" xr6:coauthVersionLast="47" xr6:coauthVersionMax="47" xr10:uidLastSave="{00000000-0000-0000-0000-000000000000}"/>
  <bookViews>
    <workbookView xWindow="4395" yWindow="345" windowWidth="21540" windowHeight="14760" activeTab="1" xr2:uid="{B5255683-9904-4B96-B116-504FB2085B5B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2" i="2" l="1"/>
  <c r="S16" i="2"/>
  <c r="T16" i="2" s="1"/>
  <c r="U16" i="2" s="1"/>
  <c r="V16" i="2" s="1"/>
  <c r="W16" i="2" s="1"/>
  <c r="S17" i="2"/>
  <c r="T17" i="2" s="1"/>
  <c r="U17" i="2" s="1"/>
  <c r="V17" i="2" s="1"/>
  <c r="W17" i="2" s="1"/>
  <c r="R16" i="2"/>
  <c r="R17" i="2"/>
  <c r="T9" i="2"/>
  <c r="U9" i="2" s="1"/>
  <c r="V9" i="2" s="1"/>
  <c r="W9" i="2" s="1"/>
  <c r="S9" i="2"/>
  <c r="R71" i="2"/>
  <c r="S71" i="2" s="1"/>
  <c r="T71" i="2" s="1"/>
  <c r="U71" i="2" s="1"/>
  <c r="V71" i="2" s="1"/>
  <c r="W71" i="2" s="1"/>
  <c r="M29" i="2"/>
  <c r="N29" i="2"/>
  <c r="O29" i="2"/>
  <c r="L18" i="2"/>
  <c r="L19" i="2" s="1"/>
  <c r="L21" i="2" s="1"/>
  <c r="L23" i="2" s="1"/>
  <c r="L25" i="2" s="1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G33" i="2" s="1"/>
  <c r="H18" i="2"/>
  <c r="C18" i="2"/>
  <c r="H37" i="2"/>
  <c r="H36" i="2"/>
  <c r="C35" i="2"/>
  <c r="D35" i="2"/>
  <c r="E35" i="2"/>
  <c r="F35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3" i="2"/>
  <c r="Q83" i="2"/>
  <c r="O83" i="2"/>
  <c r="P91" i="2"/>
  <c r="Q91" i="2"/>
  <c r="O91" i="2"/>
  <c r="Q62" i="2"/>
  <c r="P62" i="2"/>
  <c r="P37" i="2"/>
  <c r="Q36" i="2"/>
  <c r="P36" i="2"/>
  <c r="Q49" i="2"/>
  <c r="P49" i="2"/>
  <c r="Q37" i="2"/>
  <c r="Q20" i="2"/>
  <c r="P20" i="2"/>
  <c r="O20" i="2"/>
  <c r="P18" i="2"/>
  <c r="Q18" i="2"/>
  <c r="O18" i="2"/>
  <c r="P13" i="2"/>
  <c r="Q13" i="2"/>
  <c r="O13" i="2"/>
  <c r="O9" i="2"/>
  <c r="O27" i="2" s="1"/>
  <c r="M35" i="2"/>
  <c r="N35" i="2"/>
  <c r="O35" i="2"/>
  <c r="G37" i="2"/>
  <c r="G36" i="2"/>
  <c r="N2" i="2"/>
  <c r="O2" i="2" s="1"/>
  <c r="P2" i="2" s="1"/>
  <c r="Q2" i="2" s="1"/>
  <c r="R2" i="2" s="1"/>
  <c r="S2" i="2" s="1"/>
  <c r="T2" i="2" s="1"/>
  <c r="U2" i="2" s="1"/>
  <c r="V2" i="2" s="1"/>
  <c r="W2" i="2" s="1"/>
  <c r="O4" i="1"/>
  <c r="O7" i="1" s="1"/>
  <c r="F28" i="2" l="1"/>
  <c r="C14" i="2"/>
  <c r="C31" i="2" s="1"/>
  <c r="E33" i="2"/>
  <c r="G28" i="2"/>
  <c r="J9" i="2"/>
  <c r="J27" i="2" s="1"/>
  <c r="H27" i="2"/>
  <c r="H35" i="2"/>
  <c r="I20" i="2" s="1"/>
  <c r="I18" i="2"/>
  <c r="I33" i="2" s="1"/>
  <c r="J18" i="2"/>
  <c r="J33" i="2" s="1"/>
  <c r="J28" i="2"/>
  <c r="I28" i="2"/>
  <c r="F33" i="2"/>
  <c r="D33" i="2"/>
  <c r="C19" i="2"/>
  <c r="C21" i="2" s="1"/>
  <c r="C23" i="2" s="1"/>
  <c r="C25" i="2" s="1"/>
  <c r="I13" i="2"/>
  <c r="I14" i="2" s="1"/>
  <c r="I19" i="2" s="1"/>
  <c r="G19" i="2"/>
  <c r="H33" i="2"/>
  <c r="E28" i="2"/>
  <c r="H14" i="2"/>
  <c r="C33" i="2"/>
  <c r="F14" i="2"/>
  <c r="D28" i="2"/>
  <c r="E14" i="2"/>
  <c r="D14" i="2"/>
  <c r="I27" i="2"/>
  <c r="R29" i="2"/>
  <c r="O33" i="2"/>
  <c r="P35" i="2"/>
  <c r="W27" i="2"/>
  <c r="W13" i="2"/>
  <c r="W14" i="2" s="1"/>
  <c r="P92" i="2"/>
  <c r="Q92" i="2"/>
  <c r="P33" i="2"/>
  <c r="Q63" i="2"/>
  <c r="Q64" i="2" s="1"/>
  <c r="Q33" i="2"/>
  <c r="P63" i="2"/>
  <c r="P64" i="2" s="1"/>
  <c r="O92" i="2"/>
  <c r="Q66" i="2"/>
  <c r="P66" i="2"/>
  <c r="O14" i="2"/>
  <c r="O31" i="2" s="1"/>
  <c r="G35" i="2"/>
  <c r="Q27" i="2"/>
  <c r="Q35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I32" i="2"/>
  <c r="I21" i="2"/>
  <c r="I22" i="2" s="1"/>
  <c r="I23" i="2" s="1"/>
  <c r="I35" i="2" s="1"/>
  <c r="O19" i="2"/>
  <c r="O21" i="2" s="1"/>
  <c r="R15" i="2"/>
  <c r="S15" i="2" s="1"/>
  <c r="S77" i="2"/>
  <c r="R73" i="2"/>
  <c r="S73" i="2" s="1"/>
  <c r="R75" i="2"/>
  <c r="S75" i="2" s="1"/>
  <c r="R74" i="2"/>
  <c r="S74" i="2" s="1"/>
  <c r="R70" i="2"/>
  <c r="S70" i="2" s="1"/>
  <c r="S82" i="2"/>
  <c r="R81" i="2"/>
  <c r="S81" i="2" s="1"/>
  <c r="R80" i="2"/>
  <c r="S80" i="2" s="1"/>
  <c r="R79" i="2"/>
  <c r="S79" i="2" s="1"/>
  <c r="R78" i="2"/>
  <c r="S78" i="2" s="1"/>
  <c r="R76" i="2"/>
  <c r="S76" i="2" s="1"/>
  <c r="R72" i="2"/>
  <c r="S72" i="2" s="1"/>
  <c r="S91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O32" i="2"/>
  <c r="R19" i="2"/>
  <c r="R33" i="2"/>
  <c r="P21" i="2"/>
  <c r="P23" i="2" s="1"/>
  <c r="P32" i="2"/>
  <c r="O23" i="2"/>
  <c r="Q21" i="2"/>
  <c r="Q32" i="2"/>
  <c r="S18" i="2"/>
  <c r="T13" i="2"/>
  <c r="T14" i="2" s="1"/>
  <c r="T27" i="2"/>
  <c r="T70" i="2" s="1"/>
  <c r="J21" i="2" l="1"/>
  <c r="R20" i="2"/>
  <c r="J22" i="2"/>
  <c r="J23" i="2" s="1"/>
  <c r="Q23" i="2"/>
  <c r="Q25" i="2" s="1"/>
  <c r="Q68" i="2"/>
  <c r="O25" i="2"/>
  <c r="O68" i="2"/>
  <c r="P25" i="2"/>
  <c r="P68" i="2"/>
  <c r="R21" i="2"/>
  <c r="R22" i="2" s="1"/>
  <c r="R32" i="2"/>
  <c r="T78" i="2"/>
  <c r="T91" i="2"/>
  <c r="T73" i="2"/>
  <c r="T75" i="2"/>
  <c r="T76" i="2"/>
  <c r="T81" i="2"/>
  <c r="T74" i="2"/>
  <c r="T72" i="2"/>
  <c r="T82" i="2"/>
  <c r="S19" i="2"/>
  <c r="S32" i="2" s="1"/>
  <c r="S33" i="2"/>
  <c r="T79" i="2"/>
  <c r="T80" i="2"/>
  <c r="T77" i="2"/>
  <c r="T29" i="2"/>
  <c r="T15" i="2"/>
  <c r="U27" i="2"/>
  <c r="U70" i="2" s="1"/>
  <c r="U13" i="2"/>
  <c r="U14" i="2" s="1"/>
  <c r="J25" i="2" l="1"/>
  <c r="J35" i="2"/>
  <c r="R35" i="2" s="1"/>
  <c r="U76" i="2"/>
  <c r="U75" i="2"/>
  <c r="U74" i="2"/>
  <c r="R23" i="2"/>
  <c r="U73" i="2"/>
  <c r="U78" i="2"/>
  <c r="U72" i="2"/>
  <c r="U82" i="2"/>
  <c r="U77" i="2"/>
  <c r="U80" i="2"/>
  <c r="U79" i="2"/>
  <c r="U91" i="2"/>
  <c r="U81" i="2"/>
  <c r="U15" i="2"/>
  <c r="U29" i="2"/>
  <c r="V27" i="2"/>
  <c r="V70" i="2" s="1"/>
  <c r="W70" i="2" s="1"/>
  <c r="V13" i="2"/>
  <c r="V14" i="2" s="1"/>
  <c r="T18" i="2"/>
  <c r="R68" i="2" l="1"/>
  <c r="R83" i="2" s="1"/>
  <c r="R92" i="2" s="1"/>
  <c r="S20" i="2"/>
  <c r="S21" i="2" s="1"/>
  <c r="S22" i="2" s="1"/>
  <c r="R25" i="2"/>
  <c r="V91" i="2"/>
  <c r="W91" i="2" s="1"/>
  <c r="V74" i="2"/>
  <c r="W74" i="2" s="1"/>
  <c r="V81" i="2"/>
  <c r="W81" i="2" s="1"/>
  <c r="V73" i="2"/>
  <c r="W73" i="2" s="1"/>
  <c r="V75" i="2"/>
  <c r="W75" i="2" s="1"/>
  <c r="V76" i="2"/>
  <c r="W76" i="2" s="1"/>
  <c r="V79" i="2"/>
  <c r="W79" i="2" s="1"/>
  <c r="T19" i="2"/>
  <c r="T33" i="2"/>
  <c r="V78" i="2"/>
  <c r="W78" i="2" s="1"/>
  <c r="V82" i="2"/>
  <c r="W82" i="2" s="1"/>
  <c r="V80" i="2"/>
  <c r="W80" i="2" s="1"/>
  <c r="V77" i="2"/>
  <c r="W77" i="2" s="1"/>
  <c r="V72" i="2"/>
  <c r="W72" i="2" s="1"/>
  <c r="V15" i="2"/>
  <c r="W15" i="2" s="1"/>
  <c r="U18" i="2"/>
  <c r="S23" i="2" l="1"/>
  <c r="S68" i="2" s="1"/>
  <c r="S83" i="2" s="1"/>
  <c r="S92" i="2" s="1"/>
  <c r="W29" i="2"/>
  <c r="V29" i="2"/>
  <c r="W18" i="2"/>
  <c r="V18" i="2"/>
  <c r="V19" i="2" s="1"/>
  <c r="V32" i="2" s="1"/>
  <c r="U19" i="2"/>
  <c r="U32" i="2" s="1"/>
  <c r="U33" i="2"/>
  <c r="T32" i="2"/>
  <c r="S35" i="2" l="1"/>
  <c r="T20" i="2" s="1"/>
  <c r="T21" i="2" s="1"/>
  <c r="T22" i="2" s="1"/>
  <c r="S25" i="2"/>
  <c r="W19" i="2"/>
  <c r="W32" i="2" s="1"/>
  <c r="W33" i="2"/>
  <c r="V33" i="2"/>
  <c r="T23" i="2" l="1"/>
  <c r="T68" i="2" s="1"/>
  <c r="T83" i="2" s="1"/>
  <c r="T92" i="2" s="1"/>
  <c r="T35" i="2" l="1"/>
  <c r="U20" i="2" s="1"/>
  <c r="U21" i="2" s="1"/>
  <c r="U22" i="2" s="1"/>
  <c r="T25" i="2"/>
  <c r="U23" i="2"/>
  <c r="U68" i="2" l="1"/>
  <c r="U83" i="2" s="1"/>
  <c r="U92" i="2" s="1"/>
  <c r="U35" i="2"/>
  <c r="U25" i="2"/>
  <c r="V20" i="2" l="1"/>
  <c r="V21" i="2" s="1"/>
  <c r="V22" i="2" s="1"/>
  <c r="V23" i="2" l="1"/>
  <c r="V68" i="2" l="1"/>
  <c r="V83" i="2" s="1"/>
  <c r="V92" i="2" s="1"/>
  <c r="V25" i="2"/>
  <c r="V35" i="2"/>
  <c r="W20" i="2" l="1"/>
  <c r="W21" i="2" s="1"/>
  <c r="W22" i="2" s="1"/>
  <c r="W23" i="2" l="1"/>
  <c r="W68" i="2" l="1"/>
  <c r="W83" i="2" s="1"/>
  <c r="X92" i="2" s="1"/>
  <c r="Y92" i="2" s="1"/>
  <c r="Z92" i="2" s="1"/>
  <c r="AA92" i="2" s="1"/>
  <c r="W25" i="2"/>
  <c r="W35" i="2"/>
  <c r="AB92" i="2" l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Z87" i="2" s="1"/>
  <c r="Z88" i="2" s="1"/>
  <c r="Z89" i="2" l="1"/>
</calcChain>
</file>

<file path=xl/sharedStrings.xml><?xml version="1.0" encoding="utf-8"?>
<sst xmlns="http://schemas.openxmlformats.org/spreadsheetml/2006/main" count="122" uniqueCount="106">
  <si>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</si>
  <si>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</si>
  <si>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</si>
  <si>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</si>
  <si>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</si>
  <si>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</si>
  <si>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</si>
  <si>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</si>
  <si>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</si>
  <si>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</si>
  <si>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</si>
  <si>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</si>
  <si>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</si>
  <si>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</si>
  <si>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</si>
  <si>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</si>
  <si>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</si>
  <si>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</si>
  <si>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</si>
  <si>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</si>
  <si>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</si>
  <si>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</si>
  <si>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</si>
  <si>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</si>
  <si>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</si>
  <si>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</si>
  <si>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</si>
  <si>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</si>
  <si>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</si>
  <si>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</si>
  <si>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</si>
  <si>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</si>
  <si>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</si>
  <si>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</si>
  <si>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</si>
  <si>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</si>
  <si>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</si>
  <si>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</si>
  <si>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</si>
  <si>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</si>
  <si>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</si>
  <si>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</si>
  <si>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</si>
  <si>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</si>
  <si>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</si>
  <si>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</si>
  <si>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</si>
  <si>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</si>
  <si>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</si>
  <si>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</si>
  <si>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</si>
  <si>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</si>
  <si>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</si>
  <si>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</si>
  <si>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</si>
  <si>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</si>
  <si>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</si>
  <si>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</si>
  <si>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</si>
  <si>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</si>
  <si>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</si>
  <si>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</si>
  <si>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</si>
  <si>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</si>
  <si>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</si>
  <si>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</si>
  <si>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</si>
  <si>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</si>
  <si>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</si>
  <si>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</si>
  <si>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</si>
  <si>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</si>
  <si>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</si>
  <si>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</si>
  <si>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</si>
  <si>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</si>
  <si>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</si>
  <si>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</si>
  <si>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</si>
  <si>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</si>
  <si>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</si>
  <si>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</si>
  <si>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</si>
  <si>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</si>
  <si>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</si>
  <si>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</si>
  <si>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</si>
  <si>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</si>
  <si>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</si>
  <si>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</si>
  <si>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</si>
  <si>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</si>
  <si>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</si>
  <si>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</si>
  <si>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</si>
  <si>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</si>
  <si>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</si>
  <si>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</si>
  <si>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</si>
  <si>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</si>
  <si>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</si>
  <si>
    <t>Questions</t>
  </si>
  <si>
    <t>What is the competitive advantage over competitors?</t>
  </si>
  <si>
    <t>How will management advance the technology as competitors "catch up" to the current software?</t>
  </si>
  <si>
    <t>Is the ecosystem sufficient and is it disadvantageous to pay lower to switch to a different software due to learning?</t>
  </si>
  <si>
    <t>Can they sell cloud side software with server side compute?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</si>
</sst>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5" fillId="0" borderId="0" xfId="0" applyFont="1"/>
    <xf numFmtId="4" fontId="5" fillId="0" borderId="0" xfId="0" applyNumberFormat="1" applyFont="1"/>
    <xf numFmtId="3" fontId="5" fillId="0" borderId="0" xfId="0" applyNumberFormat="1" applyFont="1"/>
    <xf numFmtId="3" fontId="8" fillId="0" borderId="0" xfId="1" applyNumberFormat="1" applyFont="1"/>
    <xf numFmtId="3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4" fontId="4" fillId="0" borderId="0" xfId="0" applyNumberFormat="1" applyFont="1"/>
    <xf numFmtId="3" fontId="7" fillId="0" borderId="0" xfId="0" applyNumberFormat="1" applyFont="1"/>
    <xf numFmtId="10" fontId="4" fillId="0" borderId="0" xfId="0" applyNumberFormat="1" applyFont="1"/>
    <xf numFmtId="9" fontId="7" fillId="0" borderId="0" xfId="0" applyNumberFormat="1" applyFont="1"/>
    <xf numFmtId="164" fontId="7" fillId="0" borderId="0" xfId="0" applyNumberFormat="1" applyFont="1"/>
    <xf numFmtId="9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9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70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4"/>
  <sheetViews>
    <sheetView zoomScale="115" zoomScaleNormal="115" workbookViewId="0">
      <selection activeCell="O2" sqref="O2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341</v>
      </c>
    </row>
    <row r="3" spans="1:16" x14ac:dyDescent="0.2">
      <c r="N3" s="2" t="s">
        <v>1</v>
      </c>
      <c r="O3" s="4">
        <v>424.2</v>
      </c>
      <c r="P3" s="16" t="s">
        <v>64</v>
      </c>
    </row>
    <row r="4" spans="1:16" x14ac:dyDescent="0.2">
      <c r="N4" s="2" t="s">
        <v>2</v>
      </c>
      <c r="O4" s="4">
        <f>O3*O2</f>
        <v>144652.19999999998</v>
      </c>
    </row>
    <row r="5" spans="1:16" x14ac:dyDescent="0.2">
      <c r="N5" s="2" t="s">
        <v>3</v>
      </c>
      <c r="O5" s="4">
        <f>4931+782</f>
        <v>5713</v>
      </c>
      <c r="P5" s="16" t="s">
        <v>64</v>
      </c>
    </row>
    <row r="6" spans="1:16" x14ac:dyDescent="0.2">
      <c r="N6" s="2" t="s">
        <v>4</v>
      </c>
      <c r="O6" s="4">
        <f>6166+114+477+323+540</f>
        <v>7620</v>
      </c>
      <c r="P6" s="16" t="s">
        <v>64</v>
      </c>
    </row>
    <row r="7" spans="1:16" x14ac:dyDescent="0.2">
      <c r="N7" s="2" t="s">
        <v>5</v>
      </c>
      <c r="O7" s="4">
        <f>O4+O6-O5</f>
        <v>146559.19999999998</v>
      </c>
    </row>
    <row r="8" spans="1:16" x14ac:dyDescent="0.2">
      <c r="O8" s="3" t="e">
        <f>O2/(1.1*4*Model!G25)</f>
        <v>#DIV/0!</v>
      </c>
    </row>
    <row r="10" spans="1:16" x14ac:dyDescent="0.2">
      <c r="J10" s="21" t="s">
        <v>101</v>
      </c>
      <c r="N10" s="18" t="s">
        <v>91</v>
      </c>
    </row>
    <row r="11" spans="1:16" x14ac:dyDescent="0.2">
      <c r="J11" s="20" t="s">
        <v>102</v>
      </c>
    </row>
    <row r="12" spans="1:16" x14ac:dyDescent="0.2">
      <c r="J12" s="20" t="s">
        <v>104</v>
      </c>
    </row>
    <row r="13" spans="1:16" x14ac:dyDescent="0.2">
      <c r="J13" s="20" t="s">
        <v>103</v>
      </c>
    </row>
    <row r="14" spans="1:16" x14ac:dyDescent="0.2">
      <c r="J14" s="2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4"/>
  <sheetViews>
    <sheetView tabSelected="1" zoomScale="130" zoomScaleNormal="130" workbookViewId="0">
      <pane xSplit="2" ySplit="2" topLeftCell="O87" activePane="bottomRight" state="frozen"/>
      <selection pane="topRight" activeCell="B1" sqref="B1"/>
      <selection pane="bottomLeft" activeCell="A2" sqref="A2"/>
      <selection pane="bottomRight" activeCell="W92" sqref="W92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8" x14ac:dyDescent="0.2">
      <c r="A1" s="5" t="s">
        <v>59</v>
      </c>
    </row>
    <row r="2" spans="1:28" x14ac:dyDescent="0.2">
      <c r="C2" s="7" t="s">
        <v>60</v>
      </c>
      <c r="D2" s="7" t="s">
        <v>61</v>
      </c>
      <c r="E2" s="7" t="s">
        <v>62</v>
      </c>
      <c r="F2" s="7" t="s">
        <v>63</v>
      </c>
      <c r="G2" s="6" t="s">
        <v>28</v>
      </c>
      <c r="H2" s="7" t="s">
        <v>64</v>
      </c>
      <c r="I2" s="7" t="s">
        <v>65</v>
      </c>
      <c r="J2" s="7" t="s">
        <v>63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/>
      <c r="Y2" s="8"/>
      <c r="Z2" s="8"/>
      <c r="AA2" s="8"/>
    </row>
    <row r="3" spans="1:28" x14ac:dyDescent="0.2">
      <c r="A3" s="5"/>
      <c r="B3" s="6" t="s">
        <v>86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8" x14ac:dyDescent="0.2">
      <c r="A4" s="5"/>
      <c r="B4" s="6" t="s">
        <v>87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8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4"/>
    </row>
    <row r="6" spans="1:28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8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8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8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2">SUM(P6:P8)</f>
        <v>19409</v>
      </c>
      <c r="Q9" s="10">
        <f t="shared" si="2"/>
        <v>21505</v>
      </c>
      <c r="R9" s="10">
        <v>23600</v>
      </c>
      <c r="S9" s="10">
        <f>R9*1.1</f>
        <v>25960.000000000004</v>
      </c>
      <c r="T9" s="10">
        <f t="shared" ref="T9:W9" si="3">S9*1.1</f>
        <v>28556.000000000007</v>
      </c>
      <c r="U9" s="10">
        <f t="shared" si="3"/>
        <v>31411.600000000009</v>
      </c>
      <c r="V9" s="10">
        <f t="shared" si="3"/>
        <v>34552.760000000017</v>
      </c>
      <c r="W9" s="10">
        <f t="shared" si="3"/>
        <v>38008.036000000022</v>
      </c>
    </row>
    <row r="10" spans="1:28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8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8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8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4">SUM(E10:E12)</f>
        <v>0</v>
      </c>
      <c r="F13" s="7">
        <f t="shared" si="4"/>
        <v>0</v>
      </c>
      <c r="G13" s="7">
        <f t="shared" si="4"/>
        <v>0</v>
      </c>
      <c r="H13" s="7">
        <f t="shared" si="4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5">SUM(P10:P12)</f>
        <v>2354</v>
      </c>
      <c r="Q13" s="6">
        <f t="shared" si="5"/>
        <v>2358</v>
      </c>
      <c r="R13" s="6">
        <f t="shared" ref="R13:W13" si="6">R9*(1-R31)</f>
        <v>2595.9999999999995</v>
      </c>
      <c r="S13" s="6">
        <f t="shared" si="6"/>
        <v>2855.6</v>
      </c>
      <c r="T13" s="6">
        <f t="shared" si="6"/>
        <v>3141.1600000000003</v>
      </c>
      <c r="U13" s="6">
        <f t="shared" si="6"/>
        <v>3455.2760000000007</v>
      </c>
      <c r="V13" s="6">
        <f t="shared" si="6"/>
        <v>3800.8036000000016</v>
      </c>
      <c r="W13" s="6">
        <f t="shared" si="6"/>
        <v>4180.8839600000019</v>
      </c>
    </row>
    <row r="14" spans="1:28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7">E9-E13</f>
        <v>0</v>
      </c>
      <c r="F14" s="6">
        <f t="shared" si="7"/>
        <v>0</v>
      </c>
      <c r="G14" s="6">
        <f t="shared" si="7"/>
        <v>5710</v>
      </c>
      <c r="H14" s="6">
        <f t="shared" si="7"/>
        <v>5235</v>
      </c>
      <c r="I14" s="6">
        <f t="shared" si="7"/>
        <v>5251</v>
      </c>
      <c r="J14" s="6">
        <f t="shared" si="7"/>
        <v>5356.02</v>
      </c>
      <c r="K14" s="6"/>
      <c r="O14" s="6">
        <f>O9-O13</f>
        <v>15441</v>
      </c>
      <c r="P14" s="6">
        <f t="shared" ref="P14:Q14" si="8">P9-P13</f>
        <v>17055</v>
      </c>
      <c r="Q14" s="6">
        <f t="shared" si="8"/>
        <v>19147</v>
      </c>
      <c r="R14" s="6">
        <f t="shared" ref="R14" si="9">R9-R13</f>
        <v>21004</v>
      </c>
      <c r="S14" s="6">
        <f t="shared" ref="S14" si="10">S9-S13</f>
        <v>23104.400000000005</v>
      </c>
      <c r="T14" s="6">
        <f t="shared" ref="T14" si="11">T9-T13</f>
        <v>25414.840000000007</v>
      </c>
      <c r="U14" s="6">
        <f t="shared" ref="U14" si="12">U9-U13</f>
        <v>27956.324000000008</v>
      </c>
      <c r="V14" s="6">
        <f t="shared" ref="V14:W14" si="13">V9-V13</f>
        <v>30751.956400000014</v>
      </c>
      <c r="W14" s="6">
        <f t="shared" si="13"/>
        <v>33827.152040000023</v>
      </c>
    </row>
    <row r="15" spans="1:28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14">H15*1.01</f>
        <v>1092.82</v>
      </c>
      <c r="J15" s="6">
        <f t="shared" si="14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15">R15*(1+S27)</f>
        <v>4761.04347826087</v>
      </c>
      <c r="T15" s="6">
        <f t="shared" si="15"/>
        <v>5237.1478260869571</v>
      </c>
      <c r="U15" s="6">
        <f t="shared" si="15"/>
        <v>5760.8626086956538</v>
      </c>
      <c r="V15" s="6">
        <f t="shared" si="15"/>
        <v>6336.9488695652199</v>
      </c>
      <c r="W15" s="6">
        <f t="shared" si="15"/>
        <v>6970.643756521742</v>
      </c>
    </row>
    <row r="16" spans="1:28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14"/>
        <v>1642.26</v>
      </c>
      <c r="J16" s="6">
        <f t="shared" si="14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16">R16*1.08</f>
        <v>6723.1296000000011</v>
      </c>
      <c r="T16" s="6">
        <f t="shared" si="16"/>
        <v>7260.9799680000015</v>
      </c>
      <c r="U16" s="6">
        <f t="shared" si="16"/>
        <v>7841.8583654400018</v>
      </c>
      <c r="V16" s="6">
        <f t="shared" si="16"/>
        <v>8469.2070346752025</v>
      </c>
      <c r="W16" s="6">
        <f t="shared" si="16"/>
        <v>9146.74359744922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14"/>
        <v>380.77</v>
      </c>
      <c r="J17" s="6">
        <f t="shared" si="14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17">R17*1.08</f>
        <v>1783.4256000000003</v>
      </c>
      <c r="T17" s="6">
        <f t="shared" si="17"/>
        <v>1926.0996480000003</v>
      </c>
      <c r="U17" s="6">
        <f t="shared" si="17"/>
        <v>2080.1876198400005</v>
      </c>
      <c r="V17" s="6">
        <f t="shared" si="17"/>
        <v>2246.6026294272006</v>
      </c>
      <c r="W17" s="6">
        <f t="shared" si="17"/>
        <v>2426.3308397813767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18">SUM(D15:D17)</f>
        <v>2784</v>
      </c>
      <c r="E18" s="6">
        <f t="shared" si="18"/>
        <v>0</v>
      </c>
      <c r="F18" s="6">
        <f t="shared" si="18"/>
        <v>0</v>
      </c>
      <c r="G18" s="6">
        <f t="shared" si="18"/>
        <v>0</v>
      </c>
      <c r="H18" s="6">
        <f t="shared" si="18"/>
        <v>3085</v>
      </c>
      <c r="I18" s="6">
        <f t="shared" si="18"/>
        <v>3115.85</v>
      </c>
      <c r="J18" s="6">
        <f t="shared" si="18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19">SUM(P15:P17)</f>
        <v>10237</v>
      </c>
      <c r="Q18" s="6">
        <f t="shared" si="19"/>
        <v>11237</v>
      </c>
      <c r="R18" s="6">
        <f t="shared" si="19"/>
        <v>12204.661343873518</v>
      </c>
      <c r="S18" s="6">
        <f t="shared" si="19"/>
        <v>13267.598678260872</v>
      </c>
      <c r="T18" s="6">
        <f t="shared" si="19"/>
        <v>14424.227442086958</v>
      </c>
      <c r="U18" s="6">
        <f t="shared" si="19"/>
        <v>15682.908593975657</v>
      </c>
      <c r="V18" s="6">
        <f t="shared" si="19"/>
        <v>17052.758533667624</v>
      </c>
      <c r="W18" s="6">
        <f t="shared" ref="W18" si="20">SUM(W15:W17)</f>
        <v>18543.718193752338</v>
      </c>
    </row>
    <row r="19" spans="2:27" x14ac:dyDescent="0.2">
      <c r="B19" s="6" t="s">
        <v>19</v>
      </c>
      <c r="C19" s="6">
        <f>C14-C18</f>
        <v>0</v>
      </c>
      <c r="D19" s="6">
        <f t="shared" ref="D19:J19" si="21">D14-D18</f>
        <v>1927</v>
      </c>
      <c r="E19" s="6">
        <f t="shared" si="21"/>
        <v>0</v>
      </c>
      <c r="F19" s="6">
        <f t="shared" si="21"/>
        <v>0</v>
      </c>
      <c r="G19" s="6">
        <f t="shared" si="21"/>
        <v>5710</v>
      </c>
      <c r="H19" s="6">
        <f t="shared" si="21"/>
        <v>2150</v>
      </c>
      <c r="I19" s="6">
        <f t="shared" si="21"/>
        <v>2135.15</v>
      </c>
      <c r="J19" s="6">
        <f t="shared" si="21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22">P14-P18</f>
        <v>6818</v>
      </c>
      <c r="Q19" s="6">
        <f t="shared" si="22"/>
        <v>7910</v>
      </c>
      <c r="R19" s="6">
        <f t="shared" si="22"/>
        <v>8799.3386561264815</v>
      </c>
      <c r="S19" s="6">
        <f t="shared" si="22"/>
        <v>9836.8013217391326</v>
      </c>
      <c r="T19" s="6">
        <f t="shared" si="22"/>
        <v>10990.612557913049</v>
      </c>
      <c r="U19" s="6">
        <f t="shared" si="22"/>
        <v>12273.415406024351</v>
      </c>
      <c r="V19" s="6">
        <f t="shared" si="22"/>
        <v>13699.19786633239</v>
      </c>
      <c r="W19" s="6">
        <f t="shared" ref="W19" si="23">W14-W18</f>
        <v>15283.433846247684</v>
      </c>
    </row>
    <row r="20" spans="2:27" x14ac:dyDescent="0.2">
      <c r="B20" s="17" t="s">
        <v>90</v>
      </c>
      <c r="I20" s="6">
        <f>H35*$Z$84/4</f>
        <v>-9.5350000000000001</v>
      </c>
      <c r="J20" s="6">
        <f>I35*$Z$84/4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>R35*$Z$84</f>
        <v>31.19750336000001</v>
      </c>
      <c r="T20" s="6">
        <f>S35*$Z$84</f>
        <v>195.00628385664561</v>
      </c>
      <c r="U20" s="6">
        <f>T35*$Z$84</f>
        <v>380.68755663002258</v>
      </c>
      <c r="V20" s="6">
        <f>U35*$Z$84</f>
        <v>590.74566581008526</v>
      </c>
      <c r="W20" s="6">
        <f>V35*$Z$84</f>
        <v>827.95872844365033</v>
      </c>
    </row>
    <row r="21" spans="2:27" x14ac:dyDescent="0.2">
      <c r="B21" s="6" t="s">
        <v>20</v>
      </c>
      <c r="C21" s="6">
        <f>C19+C20</f>
        <v>0</v>
      </c>
      <c r="D21" s="6">
        <f t="shared" ref="D21:J21" si="24">D19+D20</f>
        <v>1927</v>
      </c>
      <c r="E21" s="6">
        <f t="shared" si="24"/>
        <v>0</v>
      </c>
      <c r="F21" s="6">
        <f t="shared" si="24"/>
        <v>0</v>
      </c>
      <c r="G21" s="6">
        <f t="shared" si="24"/>
        <v>5710</v>
      </c>
      <c r="H21" s="6">
        <f t="shared" si="24"/>
        <v>2150</v>
      </c>
      <c r="I21" s="6">
        <f t="shared" si="24"/>
        <v>2125.6150000000002</v>
      </c>
      <c r="J21" s="6">
        <f t="shared" si="24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25">P19+P20</f>
        <v>6721</v>
      </c>
      <c r="Q21" s="6">
        <f t="shared" si="25"/>
        <v>7789</v>
      </c>
      <c r="R21" s="6">
        <f t="shared" si="25"/>
        <v>8788.7711161264815</v>
      </c>
      <c r="S21" s="6">
        <f t="shared" si="25"/>
        <v>9867.9988250991319</v>
      </c>
      <c r="T21" s="6">
        <f t="shared" si="25"/>
        <v>11185.618841769696</v>
      </c>
      <c r="U21" s="6">
        <f t="shared" si="25"/>
        <v>12654.102962654373</v>
      </c>
      <c r="V21" s="6">
        <f t="shared" si="25"/>
        <v>14289.943532142475</v>
      </c>
      <c r="W21" s="6">
        <f t="shared" ref="W21" si="26">W19+W20</f>
        <v>16111.392574691336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W22" si="27">S21*0.17</f>
        <v>1677.5598002668526</v>
      </c>
      <c r="T22" s="6">
        <f t="shared" si="27"/>
        <v>1901.5552031008485</v>
      </c>
      <c r="U22" s="6">
        <f t="shared" si="27"/>
        <v>2151.1975036512436</v>
      </c>
      <c r="V22" s="6">
        <f t="shared" si="27"/>
        <v>2429.290400464221</v>
      </c>
      <c r="W22" s="6">
        <f t="shared" si="27"/>
        <v>2738.9367376975274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28">D21-D22</f>
        <v>1927</v>
      </c>
      <c r="E23" s="10">
        <f t="shared" si="28"/>
        <v>0</v>
      </c>
      <c r="F23" s="10">
        <f t="shared" si="28"/>
        <v>0</v>
      </c>
      <c r="G23" s="10">
        <f t="shared" si="28"/>
        <v>5710</v>
      </c>
      <c r="H23" s="10">
        <f t="shared" si="28"/>
        <v>2150</v>
      </c>
      <c r="I23" s="10">
        <f t="shared" si="28"/>
        <v>1700.4920000000002</v>
      </c>
      <c r="J23" s="10">
        <f t="shared" si="28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29">P21-P22</f>
        <v>5350</v>
      </c>
      <c r="Q23" s="10">
        <f t="shared" si="29"/>
        <v>6418</v>
      </c>
      <c r="R23" s="10">
        <f t="shared" ref="R23" si="30">R21-R22</f>
        <v>7294.68002638498</v>
      </c>
      <c r="S23" s="10">
        <f t="shared" ref="S23" si="31">S21-S22</f>
        <v>8190.4390248322798</v>
      </c>
      <c r="T23" s="10">
        <f t="shared" ref="T23" si="32">T21-T22</f>
        <v>9284.0636386688475</v>
      </c>
      <c r="U23" s="10">
        <f t="shared" ref="U23" si="33">U21-U22</f>
        <v>10502.90545900313</v>
      </c>
      <c r="V23" s="10">
        <f t="shared" ref="V23:W23" si="34">V21-V22</f>
        <v>11860.653131678255</v>
      </c>
      <c r="W23" s="10">
        <f t="shared" si="34"/>
        <v>13372.455836993808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</row>
    <row r="25" spans="2:27" x14ac:dyDescent="0.2">
      <c r="B25" s="6" t="s">
        <v>23</v>
      </c>
      <c r="C25" s="9" t="e">
        <f t="shared" ref="C25:J25" si="35">C23/C24</f>
        <v>#DIV/0!</v>
      </c>
      <c r="D25" s="9" t="e">
        <f t="shared" si="35"/>
        <v>#DIV/0!</v>
      </c>
      <c r="E25" s="9" t="e">
        <f t="shared" si="35"/>
        <v>#DIV/0!</v>
      </c>
      <c r="F25" s="9" t="e">
        <f t="shared" si="35"/>
        <v>#DIV/0!</v>
      </c>
      <c r="G25" s="9" t="e">
        <f t="shared" si="35"/>
        <v>#DIV/0!</v>
      </c>
      <c r="H25" s="9">
        <f t="shared" si="35"/>
        <v>5.0683639792550688</v>
      </c>
      <c r="I25" s="9">
        <f t="shared" si="35"/>
        <v>4.0087034417727496</v>
      </c>
      <c r="J25" s="9">
        <f t="shared" si="35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36">P23/P24</f>
        <v>11.655773420479303</v>
      </c>
      <c r="Q25" s="9">
        <f t="shared" si="36"/>
        <v>14.262222222222222</v>
      </c>
      <c r="R25" s="9">
        <f t="shared" si="36"/>
        <v>16.21040005863329</v>
      </c>
      <c r="S25" s="9">
        <f t="shared" si="36"/>
        <v>18.2009756107384</v>
      </c>
      <c r="T25" s="9">
        <f t="shared" si="36"/>
        <v>20.631252530375217</v>
      </c>
      <c r="U25" s="9">
        <f t="shared" si="36"/>
        <v>23.339789908895845</v>
      </c>
      <c r="V25" s="9">
        <f t="shared" si="36"/>
        <v>26.357006959285009</v>
      </c>
      <c r="W25" s="9">
        <f t="shared" ref="W25" si="37">W23/W24</f>
        <v>29.716568526652907</v>
      </c>
      <c r="X25" s="9"/>
      <c r="Y25" s="9"/>
      <c r="Z25" s="9"/>
      <c r="AA25" s="9"/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38">R9/Q9-1</f>
        <v>9.7419204836084683E-2</v>
      </c>
      <c r="S27" s="12">
        <f t="shared" si="38"/>
        <v>0.10000000000000009</v>
      </c>
      <c r="T27" s="12">
        <f t="shared" si="38"/>
        <v>0.10000000000000009</v>
      </c>
      <c r="U27" s="12">
        <f t="shared" si="38"/>
        <v>0.10000000000000009</v>
      </c>
      <c r="V27" s="12">
        <f t="shared" si="38"/>
        <v>0.10000000000000009</v>
      </c>
      <c r="W27" s="12">
        <f t="shared" si="38"/>
        <v>0.10000000000000009</v>
      </c>
      <c r="X27" s="12"/>
      <c r="Y27" s="12"/>
      <c r="Z27" s="12"/>
      <c r="AA27" s="12"/>
    </row>
    <row r="28" spans="2:27" s="10" customFormat="1" x14ac:dyDescent="0.2">
      <c r="B28" s="17" t="s">
        <v>89</v>
      </c>
      <c r="C28" s="12"/>
      <c r="D28" s="12" t="e">
        <f t="shared" ref="D28:J28" si="39">D9/C9-1</f>
        <v>#DIV/0!</v>
      </c>
      <c r="E28" s="12">
        <f t="shared" si="39"/>
        <v>-1</v>
      </c>
      <c r="F28" s="12" t="e">
        <f t="shared" si="39"/>
        <v>#DIV/0!</v>
      </c>
      <c r="G28" s="12" t="e">
        <f t="shared" si="39"/>
        <v>#DIV/0!</v>
      </c>
      <c r="H28" s="12">
        <f t="shared" si="39"/>
        <v>2.8546409807355566E-2</v>
      </c>
      <c r="I28" s="12">
        <f t="shared" si="39"/>
        <v>4.5973097224587534E-3</v>
      </c>
      <c r="J28" s="12">
        <f t="shared" si="39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88</v>
      </c>
      <c r="M29" s="12" t="e">
        <f t="shared" ref="M29:R29" si="40">SUM(M16:M17)/SUM(L16:L17)-1</f>
        <v>#DIV/0!</v>
      </c>
      <c r="N29" s="12" t="e">
        <f t="shared" si="40"/>
        <v>#DIV/0!</v>
      </c>
      <c r="O29" s="12" t="e">
        <f t="shared" si="40"/>
        <v>#DIV/0!</v>
      </c>
      <c r="P29" s="12">
        <f t="shared" si="40"/>
        <v>9.326006141910459E-2</v>
      </c>
      <c r="Q29" s="12">
        <f t="shared" si="40"/>
        <v>7.820816085156701E-2</v>
      </c>
      <c r="R29" s="12">
        <f t="shared" si="40"/>
        <v>8.0000000000000071E-2</v>
      </c>
      <c r="S29" s="12">
        <f t="shared" ref="S29:W29" si="41">SUM(S16:S17)/SUM(R16:R17)-1</f>
        <v>8.0000000000000071E-2</v>
      </c>
      <c r="T29" s="12">
        <f t="shared" si="41"/>
        <v>8.0000000000000293E-2</v>
      </c>
      <c r="U29" s="12">
        <f t="shared" si="41"/>
        <v>7.9999999999999849E-2</v>
      </c>
      <c r="V29" s="12">
        <f t="shared" si="41"/>
        <v>8.0000000000000071E-2</v>
      </c>
      <c r="W29" s="12">
        <f t="shared" si="41"/>
        <v>8.0000000000000071E-2</v>
      </c>
      <c r="X29" s="12"/>
      <c r="Y29" s="12"/>
      <c r="Z29" s="12"/>
      <c r="AA29" s="12"/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42">D14/D9</f>
        <v>0.88736108495008481</v>
      </c>
      <c r="E31" s="13" t="e">
        <f t="shared" si="42"/>
        <v>#DIV/0!</v>
      </c>
      <c r="F31" s="13" t="e">
        <f t="shared" si="42"/>
        <v>#DIV/0!</v>
      </c>
      <c r="G31" s="13">
        <f t="shared" si="42"/>
        <v>1</v>
      </c>
      <c r="H31" s="13">
        <f t="shared" si="42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/>
      <c r="Y31" s="13"/>
      <c r="Z31" s="13"/>
      <c r="AA31" s="13"/>
    </row>
    <row r="32" spans="2:27" s="10" customFormat="1" x14ac:dyDescent="0.2">
      <c r="B32" s="6" t="s">
        <v>36</v>
      </c>
      <c r="C32" s="14" t="e">
        <f t="shared" ref="C32:J32" si="43">C19/C9</f>
        <v>#DIV/0!</v>
      </c>
      <c r="D32" s="14">
        <f t="shared" si="43"/>
        <v>0.36296854398191752</v>
      </c>
      <c r="E32" s="14" t="e">
        <f t="shared" si="43"/>
        <v>#DIV/0!</v>
      </c>
      <c r="F32" s="14" t="e">
        <f t="shared" si="43"/>
        <v>#DIV/0!</v>
      </c>
      <c r="G32" s="14">
        <f t="shared" si="43"/>
        <v>1</v>
      </c>
      <c r="H32" s="14">
        <f t="shared" si="43"/>
        <v>0.36608207049208241</v>
      </c>
      <c r="I32" s="14">
        <f t="shared" si="43"/>
        <v>0.36188983050847462</v>
      </c>
      <c r="J32" s="14">
        <f t="shared" si="43"/>
        <v>0.36706738118976412</v>
      </c>
      <c r="K32" s="14"/>
      <c r="O32" s="14">
        <f t="shared" ref="O32:W32" si="44">O19/O9</f>
        <v>0.35595819606952173</v>
      </c>
      <c r="P32" s="14">
        <f t="shared" si="44"/>
        <v>0.35128033386573237</v>
      </c>
      <c r="Q32" s="14">
        <f t="shared" si="44"/>
        <v>0.36782143687514529</v>
      </c>
      <c r="R32" s="14">
        <f t="shared" si="44"/>
        <v>0.37285333288671529</v>
      </c>
      <c r="S32" s="14">
        <f t="shared" si="44"/>
        <v>0.37892146847993574</v>
      </c>
      <c r="T32" s="14">
        <f t="shared" si="44"/>
        <v>0.38487927433509761</v>
      </c>
      <c r="U32" s="14">
        <f t="shared" si="44"/>
        <v>0.3907287564474381</v>
      </c>
      <c r="V32" s="14">
        <f t="shared" si="44"/>
        <v>0.39647188433955444</v>
      </c>
      <c r="W32" s="14">
        <f t="shared" si="44"/>
        <v>0.4021105917245415</v>
      </c>
      <c r="X32" s="14"/>
      <c r="Y32" s="14"/>
      <c r="Z32" s="14"/>
      <c r="AA32" s="14"/>
    </row>
    <row r="33" spans="2:27" s="10" customFormat="1" x14ac:dyDescent="0.2">
      <c r="B33" s="6" t="s">
        <v>35</v>
      </c>
      <c r="C33" s="14" t="e">
        <f t="shared" ref="C33:J33" si="45">C18/C9</f>
        <v>#DIV/0!</v>
      </c>
      <c r="D33" s="14">
        <f t="shared" si="45"/>
        <v>0.52439254096816723</v>
      </c>
      <c r="E33" s="14" t="e">
        <f t="shared" si="45"/>
        <v>#DIV/0!</v>
      </c>
      <c r="F33" s="14" t="e">
        <f t="shared" si="45"/>
        <v>#DIV/0!</v>
      </c>
      <c r="G33" s="14">
        <f t="shared" si="45"/>
        <v>0</v>
      </c>
      <c r="H33" s="14">
        <f t="shared" si="45"/>
        <v>0.52528520347352292</v>
      </c>
      <c r="I33" s="14">
        <f t="shared" si="45"/>
        <v>0.52811016949152545</v>
      </c>
      <c r="J33" s="14">
        <f t="shared" si="45"/>
        <v>0.52293261881023589</v>
      </c>
      <c r="K33" s="14"/>
      <c r="O33" s="14">
        <f t="shared" ref="O33:W33" si="46">O18/O9</f>
        <v>0.5210723616948767</v>
      </c>
      <c r="P33" s="14">
        <f t="shared" si="46"/>
        <v>0.52743572569426556</v>
      </c>
      <c r="Q33" s="14">
        <f t="shared" si="46"/>
        <v>0.52252964426877468</v>
      </c>
      <c r="R33" s="14">
        <f t="shared" si="46"/>
        <v>0.51714666711328472</v>
      </c>
      <c r="S33" s="14">
        <f t="shared" si="46"/>
        <v>0.51107853152006433</v>
      </c>
      <c r="T33" s="14">
        <f t="shared" si="46"/>
        <v>0.5051207256649024</v>
      </c>
      <c r="U33" s="14">
        <f t="shared" si="46"/>
        <v>0.49927124355256186</v>
      </c>
      <c r="V33" s="14">
        <f t="shared" si="46"/>
        <v>0.49352811566044552</v>
      </c>
      <c r="W33" s="14">
        <f t="shared" si="46"/>
        <v>0.48788940827545857</v>
      </c>
      <c r="X33" s="14"/>
      <c r="Y33" s="14"/>
      <c r="Z33" s="14"/>
      <c r="AA33" s="14"/>
    </row>
    <row r="35" spans="2:27" x14ac:dyDescent="0.2">
      <c r="B35" s="6" t="s">
        <v>27</v>
      </c>
      <c r="C35" s="6">
        <f t="shared" ref="C35:H35" si="47">C36-C37</f>
        <v>0</v>
      </c>
      <c r="D35" s="6">
        <f t="shared" si="47"/>
        <v>0</v>
      </c>
      <c r="E35" s="6">
        <f t="shared" si="47"/>
        <v>0</v>
      </c>
      <c r="F35" s="6">
        <f t="shared" si="47"/>
        <v>0</v>
      </c>
      <c r="G35" s="6">
        <f t="shared" si="47"/>
        <v>-262</v>
      </c>
      <c r="H35" s="6">
        <f t="shared" si="47"/>
        <v>-1907</v>
      </c>
      <c r="I35" s="6">
        <f t="shared" ref="I35:J35" si="48">H35+I23</f>
        <v>-206.50799999999981</v>
      </c>
      <c r="J35" s="6">
        <f t="shared" si="48"/>
        <v>1559.8751680000005</v>
      </c>
      <c r="K35" s="6"/>
      <c r="M35" s="6">
        <f>M36-M37</f>
        <v>0</v>
      </c>
      <c r="N35" s="6">
        <f>N36-N37</f>
        <v>0</v>
      </c>
      <c r="O35" s="6">
        <f>O36-O37</f>
        <v>0</v>
      </c>
      <c r="P35" s="6">
        <f>P36-P37</f>
        <v>2832</v>
      </c>
      <c r="Q35" s="6">
        <f>Q36-Q37</f>
        <v>189</v>
      </c>
      <c r="R35" s="6">
        <f>J35</f>
        <v>1559.8751680000005</v>
      </c>
      <c r="S35" s="6">
        <f t="shared" ref="S35:W35" si="49">R35+S23</f>
        <v>9750.3141928322802</v>
      </c>
      <c r="T35" s="6">
        <f t="shared" si="49"/>
        <v>19034.37783150113</v>
      </c>
      <c r="U35" s="6">
        <f t="shared" si="49"/>
        <v>29537.28329050426</v>
      </c>
      <c r="V35" s="6">
        <f t="shared" si="49"/>
        <v>41397.936422182516</v>
      </c>
      <c r="W35" s="6">
        <f t="shared" si="49"/>
        <v>54770.392259176326</v>
      </c>
    </row>
    <row r="36" spans="2:27" x14ac:dyDescent="0.2">
      <c r="B36" s="6" t="s">
        <v>3</v>
      </c>
      <c r="G36" s="6">
        <f>6758+677</f>
        <v>7435</v>
      </c>
      <c r="H36" s="4">
        <f>4931+782</f>
        <v>5713</v>
      </c>
      <c r="P36" s="6">
        <f>P39+P40</f>
        <v>7842</v>
      </c>
      <c r="Q36" s="6">
        <f>Q39+Q40</f>
        <v>7886</v>
      </c>
    </row>
    <row r="37" spans="2:27" x14ac:dyDescent="0.2">
      <c r="B37" s="6" t="s">
        <v>4</v>
      </c>
      <c r="G37" s="6">
        <f>6155+143+567+334+498</f>
        <v>7697</v>
      </c>
      <c r="H37" s="4">
        <f>6166+114+477+323+540</f>
        <v>7620</v>
      </c>
      <c r="P37" s="6">
        <f>SUM(P57:P61)</f>
        <v>5010</v>
      </c>
      <c r="Q37" s="6">
        <f>6155+143+567+334+498</f>
        <v>7697</v>
      </c>
    </row>
    <row r="39" spans="2:27" x14ac:dyDescent="0.2">
      <c r="B39" s="6" t="s">
        <v>3</v>
      </c>
      <c r="P39" s="6">
        <v>7141</v>
      </c>
      <c r="Q39" s="6">
        <v>7613</v>
      </c>
    </row>
    <row r="40" spans="2:27" x14ac:dyDescent="0.2">
      <c r="B40" s="6" t="s">
        <v>37</v>
      </c>
      <c r="P40" s="6">
        <v>701</v>
      </c>
      <c r="Q40" s="6">
        <v>273</v>
      </c>
    </row>
    <row r="41" spans="2:27" x14ac:dyDescent="0.2">
      <c r="B41" s="6" t="s">
        <v>38</v>
      </c>
      <c r="P41" s="6">
        <v>2224</v>
      </c>
      <c r="Q41" s="6">
        <v>2072</v>
      </c>
    </row>
    <row r="42" spans="2:27" x14ac:dyDescent="0.2">
      <c r="B42" s="6" t="s">
        <v>39</v>
      </c>
      <c r="P42" s="6">
        <v>1018</v>
      </c>
      <c r="Q42" s="6">
        <v>1274</v>
      </c>
    </row>
    <row r="43" spans="2:27" x14ac:dyDescent="0.2">
      <c r="B43" s="6" t="s">
        <v>40</v>
      </c>
      <c r="P43" s="6">
        <v>2030</v>
      </c>
      <c r="Q43" s="6">
        <v>1936</v>
      </c>
    </row>
    <row r="44" spans="2:27" x14ac:dyDescent="0.2">
      <c r="B44" s="6" t="s">
        <v>41</v>
      </c>
      <c r="P44" s="6">
        <v>358</v>
      </c>
      <c r="Q44" s="6">
        <v>281</v>
      </c>
    </row>
    <row r="45" spans="2:27" x14ac:dyDescent="0.2">
      <c r="B45" s="6" t="s">
        <v>42</v>
      </c>
      <c r="P45" s="6">
        <v>12805</v>
      </c>
      <c r="Q45" s="6">
        <v>12788</v>
      </c>
    </row>
    <row r="46" spans="2:27" x14ac:dyDescent="0.2">
      <c r="B46" s="6" t="s">
        <v>43</v>
      </c>
      <c r="P46" s="6">
        <v>1088</v>
      </c>
      <c r="Q46" s="6">
        <v>782</v>
      </c>
    </row>
    <row r="47" spans="2:27" x14ac:dyDescent="0.2">
      <c r="B47" s="6" t="s">
        <v>44</v>
      </c>
      <c r="P47" s="6">
        <v>1191</v>
      </c>
      <c r="Q47" s="6">
        <v>1657</v>
      </c>
    </row>
    <row r="48" spans="2:27" x14ac:dyDescent="0.2">
      <c r="B48" s="6" t="s">
        <v>45</v>
      </c>
      <c r="P48" s="6">
        <v>1223</v>
      </c>
      <c r="Q48" s="6">
        <v>1554</v>
      </c>
    </row>
    <row r="49" spans="2:17" x14ac:dyDescent="0.2">
      <c r="B49" s="6" t="s">
        <v>46</v>
      </c>
      <c r="P49" s="6">
        <f>SUM(P39:P48)</f>
        <v>29779</v>
      </c>
      <c r="Q49" s="6">
        <f>SUM(Q39:Q48)</f>
        <v>30230</v>
      </c>
    </row>
    <row r="51" spans="2:17" x14ac:dyDescent="0.2">
      <c r="B51" s="6" t="s">
        <v>47</v>
      </c>
      <c r="P51" s="6">
        <v>314</v>
      </c>
      <c r="Q51" s="6">
        <v>361</v>
      </c>
    </row>
    <row r="52" spans="2:17" x14ac:dyDescent="0.2">
      <c r="B52" s="6" t="s">
        <v>48</v>
      </c>
      <c r="P52" s="6">
        <v>1942</v>
      </c>
      <c r="Q52" s="6">
        <v>2336</v>
      </c>
    </row>
    <row r="53" spans="2:17" x14ac:dyDescent="0.2">
      <c r="B53" s="6" t="s">
        <v>52</v>
      </c>
      <c r="P53" s="6">
        <v>0</v>
      </c>
      <c r="Q53" s="6">
        <v>1499</v>
      </c>
    </row>
    <row r="54" spans="2:17" x14ac:dyDescent="0.2">
      <c r="B54" s="6" t="s">
        <v>49</v>
      </c>
      <c r="P54" s="6">
        <v>5837</v>
      </c>
      <c r="Q54" s="6">
        <v>6131</v>
      </c>
    </row>
    <row r="55" spans="2:17" x14ac:dyDescent="0.2">
      <c r="B55" s="6" t="s">
        <v>50</v>
      </c>
      <c r="P55" s="6">
        <v>85</v>
      </c>
      <c r="Q55" s="6">
        <v>119</v>
      </c>
    </row>
    <row r="56" spans="2:17" x14ac:dyDescent="0.2">
      <c r="B56" s="6" t="s">
        <v>51</v>
      </c>
      <c r="P56" s="6">
        <v>73</v>
      </c>
      <c r="Q56" s="6">
        <v>75</v>
      </c>
    </row>
    <row r="57" spans="2:17" x14ac:dyDescent="0.2">
      <c r="B57" s="6" t="s">
        <v>53</v>
      </c>
      <c r="P57" s="6">
        <v>3634</v>
      </c>
      <c r="Q57" s="6">
        <v>4129</v>
      </c>
    </row>
    <row r="58" spans="2:17" x14ac:dyDescent="0.2">
      <c r="B58" s="6" t="s">
        <v>54</v>
      </c>
      <c r="P58" s="6">
        <v>113</v>
      </c>
      <c r="Q58" s="6">
        <v>128</v>
      </c>
    </row>
    <row r="59" spans="2:17" x14ac:dyDescent="0.2">
      <c r="B59" s="6" t="s">
        <v>66</v>
      </c>
      <c r="P59" s="6">
        <v>514</v>
      </c>
      <c r="Q59" s="6">
        <v>548</v>
      </c>
    </row>
    <row r="60" spans="2:17" x14ac:dyDescent="0.2">
      <c r="B60" s="6" t="s">
        <v>51</v>
      </c>
      <c r="P60" s="6">
        <v>373</v>
      </c>
      <c r="Q60" s="6">
        <v>353</v>
      </c>
    </row>
    <row r="61" spans="2:17" x14ac:dyDescent="0.2">
      <c r="B61" s="6" t="s">
        <v>55</v>
      </c>
      <c r="P61" s="6">
        <v>376</v>
      </c>
      <c r="Q61" s="6">
        <v>446</v>
      </c>
    </row>
    <row r="62" spans="2:17" x14ac:dyDescent="0.2">
      <c r="B62" s="6" t="s">
        <v>57</v>
      </c>
      <c r="P62" s="6">
        <f>SUM(P51:P61)</f>
        <v>13261</v>
      </c>
      <c r="Q62" s="6">
        <f>SUM(Q51:Q61)</f>
        <v>16125</v>
      </c>
    </row>
    <row r="63" spans="2:17" x14ac:dyDescent="0.2">
      <c r="B63" s="6" t="s">
        <v>56</v>
      </c>
      <c r="P63" s="6">
        <f>P49-P62</f>
        <v>16518</v>
      </c>
      <c r="Q63" s="6">
        <f>Q49-Q62</f>
        <v>14105</v>
      </c>
    </row>
    <row r="64" spans="2:17" x14ac:dyDescent="0.2">
      <c r="B64" s="6" t="s">
        <v>58</v>
      </c>
      <c r="P64" s="6">
        <f>P63+P62</f>
        <v>29779</v>
      </c>
      <c r="Q64" s="6">
        <f>Q63+Q62</f>
        <v>30230</v>
      </c>
    </row>
    <row r="66" spans="2:29" x14ac:dyDescent="0.2">
      <c r="B66" s="6" t="s">
        <v>67</v>
      </c>
      <c r="P66" s="6">
        <f>P41/P9*360</f>
        <v>41.250966046679373</v>
      </c>
      <c r="Q66" s="6">
        <f>Q41/Q9*360</f>
        <v>34.68588700302255</v>
      </c>
    </row>
    <row r="67" spans="2:29" x14ac:dyDescent="0.2">
      <c r="Q67" s="14"/>
      <c r="R67" s="14"/>
      <c r="S67" s="14"/>
    </row>
    <row r="68" spans="2:29" s="10" customFormat="1" x14ac:dyDescent="0.2">
      <c r="B68" s="6" t="s">
        <v>68</v>
      </c>
      <c r="O68" s="10">
        <f t="shared" ref="O68:W68" si="50">O23</f>
        <v>4884</v>
      </c>
      <c r="P68" s="10">
        <f t="shared" si="50"/>
        <v>5350</v>
      </c>
      <c r="Q68" s="10">
        <f t="shared" si="50"/>
        <v>6418</v>
      </c>
      <c r="R68" s="10">
        <f t="shared" si="50"/>
        <v>7294.68002638498</v>
      </c>
      <c r="S68" s="10">
        <f t="shared" si="50"/>
        <v>8190.4390248322798</v>
      </c>
      <c r="T68" s="10">
        <f t="shared" si="50"/>
        <v>9284.0636386688475</v>
      </c>
      <c r="U68" s="10">
        <f t="shared" si="50"/>
        <v>10502.90545900313</v>
      </c>
      <c r="V68" s="10">
        <f t="shared" si="50"/>
        <v>11860.653131678255</v>
      </c>
      <c r="W68" s="10">
        <f t="shared" si="50"/>
        <v>13372.455836993808</v>
      </c>
    </row>
    <row r="69" spans="2:29" x14ac:dyDescent="0.2">
      <c r="B69" s="6" t="s">
        <v>69</v>
      </c>
      <c r="O69" s="6">
        <v>4756</v>
      </c>
      <c r="P69" s="6">
        <v>5428</v>
      </c>
      <c r="Q69" s="6">
        <v>5560</v>
      </c>
      <c r="R69" s="14"/>
    </row>
    <row r="70" spans="2:29" x14ac:dyDescent="0.2">
      <c r="B70" s="6" t="s">
        <v>70</v>
      </c>
      <c r="O70" s="6">
        <v>856</v>
      </c>
      <c r="P70" s="6">
        <v>872</v>
      </c>
      <c r="Q70" s="6">
        <v>857</v>
      </c>
      <c r="R70" s="6">
        <f t="shared" ref="R70:W70" si="51">Q70*(1+R27)</f>
        <v>940.48825854452457</v>
      </c>
      <c r="S70" s="6">
        <f t="shared" si="51"/>
        <v>1034.5370843989772</v>
      </c>
      <c r="T70" s="6">
        <f t="shared" si="51"/>
        <v>1137.990792838875</v>
      </c>
      <c r="U70" s="6">
        <f t="shared" si="51"/>
        <v>1251.7898721227625</v>
      </c>
      <c r="V70" s="6">
        <f t="shared" si="51"/>
        <v>1376.9688593350388</v>
      </c>
      <c r="W70" s="6">
        <f t="shared" si="51"/>
        <v>1514.6657452685429</v>
      </c>
    </row>
    <row r="71" spans="2:29" x14ac:dyDescent="0.2">
      <c r="B71" s="6" t="s">
        <v>71</v>
      </c>
      <c r="O71" s="6">
        <v>1440</v>
      </c>
      <c r="P71" s="6">
        <v>1718</v>
      </c>
      <c r="Q71" s="6">
        <v>1833</v>
      </c>
      <c r="R71" s="6">
        <f t="shared" ref="R71:W71" si="52">Q71*1.1</f>
        <v>2016.3000000000002</v>
      </c>
      <c r="S71" s="6">
        <f t="shared" si="52"/>
        <v>2217.9300000000003</v>
      </c>
      <c r="T71" s="6">
        <f t="shared" si="52"/>
        <v>2439.7230000000004</v>
      </c>
      <c r="U71" s="6">
        <f t="shared" si="52"/>
        <v>2683.6953000000008</v>
      </c>
      <c r="V71" s="6">
        <f t="shared" si="52"/>
        <v>2952.0648300000012</v>
      </c>
      <c r="W71" s="6">
        <f t="shared" si="52"/>
        <v>3247.2713130000016</v>
      </c>
    </row>
    <row r="72" spans="2:29" x14ac:dyDescent="0.2">
      <c r="B72" s="6" t="s">
        <v>72</v>
      </c>
      <c r="O72" s="6">
        <v>83</v>
      </c>
      <c r="P72" s="6">
        <v>72</v>
      </c>
      <c r="Q72" s="6">
        <v>77</v>
      </c>
      <c r="R72" s="6">
        <f t="shared" ref="R72:W72" si="53">Q72*(1+R27)</f>
        <v>84.501278772378527</v>
      </c>
      <c r="S72" s="6">
        <f t="shared" si="53"/>
        <v>92.951406649616388</v>
      </c>
      <c r="T72" s="6">
        <f t="shared" si="53"/>
        <v>102.24654731457804</v>
      </c>
      <c r="U72" s="6">
        <f t="shared" si="53"/>
        <v>112.47120204603586</v>
      </c>
      <c r="V72" s="6">
        <f t="shared" si="53"/>
        <v>123.71832225063945</v>
      </c>
      <c r="W72" s="6">
        <f t="shared" si="53"/>
        <v>136.0901544757034</v>
      </c>
    </row>
    <row r="73" spans="2:29" x14ac:dyDescent="0.2">
      <c r="B73" s="6" t="s">
        <v>73</v>
      </c>
      <c r="O73" s="6">
        <v>0</v>
      </c>
      <c r="P73" s="6">
        <v>0</v>
      </c>
      <c r="Q73" s="6">
        <v>78</v>
      </c>
      <c r="R73" s="6">
        <f t="shared" ref="R73:W73" si="54">Q73*(1+R27)</f>
        <v>85.598697977214599</v>
      </c>
      <c r="S73" s="6">
        <f t="shared" si="54"/>
        <v>94.15856777493606</v>
      </c>
      <c r="T73" s="6">
        <f t="shared" si="54"/>
        <v>103.57442455242968</v>
      </c>
      <c r="U73" s="6">
        <f t="shared" si="54"/>
        <v>113.93186700767265</v>
      </c>
      <c r="V73" s="6">
        <f t="shared" si="54"/>
        <v>125.32505370843992</v>
      </c>
      <c r="W73" s="6">
        <f t="shared" si="54"/>
        <v>137.85755907928393</v>
      </c>
    </row>
    <row r="74" spans="2:29" x14ac:dyDescent="0.2">
      <c r="B74" s="6" t="s">
        <v>44</v>
      </c>
      <c r="O74" s="6">
        <v>328</v>
      </c>
      <c r="P74" s="6">
        <v>-426</v>
      </c>
      <c r="Q74" s="6">
        <v>-468</v>
      </c>
      <c r="R74" s="6">
        <f t="shared" ref="R74:W74" si="55">Q74*(1+R27)</f>
        <v>-513.59218786328768</v>
      </c>
      <c r="S74" s="6">
        <f t="shared" si="55"/>
        <v>-564.9514066496165</v>
      </c>
      <c r="T74" s="6">
        <f t="shared" si="55"/>
        <v>-621.4465473145782</v>
      </c>
      <c r="U74" s="6">
        <f t="shared" si="55"/>
        <v>-683.59120204603607</v>
      </c>
      <c r="V74" s="6">
        <f t="shared" si="55"/>
        <v>-751.95032225063972</v>
      </c>
      <c r="W74" s="6">
        <f t="shared" si="55"/>
        <v>-827.1453544757037</v>
      </c>
    </row>
    <row r="75" spans="2:29" x14ac:dyDescent="0.2">
      <c r="B75" s="6" t="s">
        <v>74</v>
      </c>
      <c r="O75" s="6">
        <v>29</v>
      </c>
      <c r="P75" s="6">
        <v>-10</v>
      </c>
      <c r="Q75" s="6">
        <v>-35</v>
      </c>
      <c r="R75" s="6">
        <f t="shared" ref="R75:W75" si="56">Q75*(1+R27)</f>
        <v>-38.409672169262961</v>
      </c>
      <c r="S75" s="6">
        <f t="shared" si="56"/>
        <v>-42.250639386189263</v>
      </c>
      <c r="T75" s="6">
        <f t="shared" si="56"/>
        <v>-46.475703324808194</v>
      </c>
      <c r="U75" s="6">
        <f t="shared" si="56"/>
        <v>-51.123273657289019</v>
      </c>
      <c r="V75" s="6">
        <f t="shared" si="56"/>
        <v>-56.235601023017928</v>
      </c>
      <c r="W75" s="6">
        <f t="shared" si="56"/>
        <v>-61.859161125319723</v>
      </c>
      <c r="AC75" s="19"/>
    </row>
    <row r="76" spans="2:29" x14ac:dyDescent="0.2">
      <c r="B76" s="6" t="s">
        <v>75</v>
      </c>
      <c r="O76" s="6">
        <v>10</v>
      </c>
      <c r="P76" s="6">
        <v>3</v>
      </c>
      <c r="Q76" s="6">
        <v>10</v>
      </c>
      <c r="R76" s="6">
        <f t="shared" ref="R76:W76" si="57">Q76*(1+R27)</f>
        <v>10.974192048360846</v>
      </c>
      <c r="S76" s="6">
        <f t="shared" si="57"/>
        <v>12.071611253196933</v>
      </c>
      <c r="T76" s="6">
        <f t="shared" si="57"/>
        <v>13.278772378516628</v>
      </c>
      <c r="U76" s="6">
        <f t="shared" si="57"/>
        <v>14.606649616368292</v>
      </c>
      <c r="V76" s="6">
        <f t="shared" si="57"/>
        <v>16.067314578005124</v>
      </c>
      <c r="W76" s="6">
        <f t="shared" si="57"/>
        <v>17.674046035805638</v>
      </c>
      <c r="AC76" s="19"/>
    </row>
    <row r="77" spans="2:29" x14ac:dyDescent="0.2">
      <c r="B77" s="6" t="s">
        <v>38</v>
      </c>
      <c r="O77" s="6">
        <v>-198</v>
      </c>
      <c r="P77" s="6">
        <v>-159</v>
      </c>
      <c r="Q77" s="6">
        <v>143</v>
      </c>
      <c r="R77" s="6">
        <v>0</v>
      </c>
      <c r="S77" s="6">
        <f t="shared" ref="S77:W77" si="58">R77*(1+S27)</f>
        <v>0</v>
      </c>
      <c r="T77" s="6">
        <f t="shared" si="58"/>
        <v>0</v>
      </c>
      <c r="U77" s="6">
        <f t="shared" si="58"/>
        <v>0</v>
      </c>
      <c r="V77" s="6">
        <f t="shared" si="58"/>
        <v>0</v>
      </c>
      <c r="W77" s="6">
        <f t="shared" si="58"/>
        <v>0</v>
      </c>
      <c r="AC77" s="19"/>
    </row>
    <row r="78" spans="2:29" x14ac:dyDescent="0.2">
      <c r="B78" s="6" t="s">
        <v>39</v>
      </c>
      <c r="O78" s="6">
        <v>-94</v>
      </c>
      <c r="P78" s="6">
        <v>-818</v>
      </c>
      <c r="Q78" s="6">
        <v>-616</v>
      </c>
      <c r="R78" s="6">
        <f t="shared" ref="R78:W78" si="59">Q78*(1+R27)</f>
        <v>-676.01023017902821</v>
      </c>
      <c r="S78" s="6">
        <f t="shared" si="59"/>
        <v>-743.6112531969311</v>
      </c>
      <c r="T78" s="6">
        <f t="shared" si="59"/>
        <v>-817.9723785166243</v>
      </c>
      <c r="U78" s="6">
        <f t="shared" si="59"/>
        <v>-899.76961636828685</v>
      </c>
      <c r="V78" s="6">
        <f t="shared" si="59"/>
        <v>-989.74657800511557</v>
      </c>
      <c r="W78" s="6">
        <f t="shared" si="59"/>
        <v>-1088.7212358056272</v>
      </c>
      <c r="AC78" s="19"/>
    </row>
    <row r="79" spans="2:29" x14ac:dyDescent="0.2">
      <c r="B79" s="6" t="s">
        <v>76</v>
      </c>
      <c r="O79" s="6">
        <v>66</v>
      </c>
      <c r="P79" s="6">
        <v>-49</v>
      </c>
      <c r="Q79" s="6">
        <v>44</v>
      </c>
      <c r="R79" s="6">
        <f t="shared" ref="R79:W79" si="60">Q79*(1+R27)</f>
        <v>48.286445012787723</v>
      </c>
      <c r="S79" s="6">
        <f t="shared" si="60"/>
        <v>53.115089514066497</v>
      </c>
      <c r="T79" s="6">
        <f t="shared" si="60"/>
        <v>58.426598465473148</v>
      </c>
      <c r="U79" s="6">
        <f t="shared" si="60"/>
        <v>64.269258312020469</v>
      </c>
      <c r="V79" s="6">
        <f t="shared" si="60"/>
        <v>70.696184143222524</v>
      </c>
      <c r="W79" s="6">
        <f t="shared" si="60"/>
        <v>77.765802557544788</v>
      </c>
      <c r="AC79" s="19"/>
    </row>
    <row r="80" spans="2:29" x14ac:dyDescent="0.2">
      <c r="B80" s="6" t="s">
        <v>48</v>
      </c>
      <c r="O80" s="6">
        <v>7</v>
      </c>
      <c r="P80" s="6">
        <v>146</v>
      </c>
      <c r="Q80" s="6">
        <v>196</v>
      </c>
      <c r="R80" s="6">
        <f t="shared" ref="R80:W80" si="61">Q80*(1+R27)</f>
        <v>215.09416414787259</v>
      </c>
      <c r="S80" s="6">
        <f t="shared" si="61"/>
        <v>236.60358056265986</v>
      </c>
      <c r="T80" s="6">
        <f t="shared" si="61"/>
        <v>260.26393861892586</v>
      </c>
      <c r="U80" s="6">
        <f t="shared" si="61"/>
        <v>286.29033248081845</v>
      </c>
      <c r="V80" s="6">
        <f t="shared" si="61"/>
        <v>314.91936572890035</v>
      </c>
      <c r="W80" s="6">
        <f t="shared" si="61"/>
        <v>346.41130230179039</v>
      </c>
    </row>
    <row r="81" spans="1:115" x14ac:dyDescent="0.2">
      <c r="B81" s="6" t="s">
        <v>50</v>
      </c>
      <c r="O81" s="6">
        <v>19</v>
      </c>
      <c r="P81" s="6">
        <v>-11</v>
      </c>
      <c r="Q81" s="6">
        <v>68</v>
      </c>
      <c r="R81" s="6">
        <f t="shared" ref="R81:W81" si="62">Q81*(1+R27)</f>
        <v>74.624505928853765</v>
      </c>
      <c r="S81" s="6">
        <f t="shared" si="62"/>
        <v>82.086956521739154</v>
      </c>
      <c r="T81" s="6">
        <f t="shared" si="62"/>
        <v>90.295652173913084</v>
      </c>
      <c r="U81" s="6">
        <f t="shared" si="62"/>
        <v>99.325217391304406</v>
      </c>
      <c r="V81" s="6">
        <f t="shared" si="62"/>
        <v>109.25773913043486</v>
      </c>
      <c r="W81" s="6">
        <f t="shared" si="62"/>
        <v>120.18351304347836</v>
      </c>
    </row>
    <row r="82" spans="1:115" x14ac:dyDescent="0.2">
      <c r="B82" s="6" t="s">
        <v>77</v>
      </c>
      <c r="O82" s="6">
        <v>536</v>
      </c>
      <c r="P82" s="6">
        <v>536</v>
      </c>
      <c r="Q82" s="6">
        <v>309</v>
      </c>
      <c r="R82" s="6">
        <v>0</v>
      </c>
      <c r="S82" s="6">
        <f t="shared" ref="S82:W82" si="63">R82*(1+S27)</f>
        <v>0</v>
      </c>
      <c r="T82" s="6">
        <f t="shared" si="63"/>
        <v>0</v>
      </c>
      <c r="U82" s="6">
        <f t="shared" si="63"/>
        <v>0</v>
      </c>
      <c r="V82" s="6">
        <f t="shared" si="63"/>
        <v>0</v>
      </c>
      <c r="W82" s="6">
        <f t="shared" si="63"/>
        <v>0</v>
      </c>
    </row>
    <row r="83" spans="1:115" s="10" customFormat="1" x14ac:dyDescent="0.2">
      <c r="A83" s="6"/>
      <c r="B83" s="10" t="s">
        <v>25</v>
      </c>
      <c r="C83" s="1"/>
      <c r="D83" s="1"/>
      <c r="E83" s="1"/>
      <c r="F83" s="1"/>
      <c r="H83" s="1"/>
      <c r="I83" s="1"/>
      <c r="J83" s="1"/>
      <c r="K83" s="1"/>
      <c r="O83" s="10">
        <f>SUM(O69:O82)</f>
        <v>7838</v>
      </c>
      <c r="P83" s="10">
        <f t="shared" ref="P83:Q83" si="64">SUM(P69:P82)</f>
        <v>7302</v>
      </c>
      <c r="Q83" s="10">
        <f t="shared" si="64"/>
        <v>8056</v>
      </c>
      <c r="R83" s="10">
        <f>SUM(R68:R82)</f>
        <v>9542.5354786053977</v>
      </c>
      <c r="S83" s="10">
        <f t="shared" ref="S83:V83" si="65">SUM(S68:S82)</f>
        <v>10663.080022274735</v>
      </c>
      <c r="T83" s="10">
        <f t="shared" si="65"/>
        <v>12003.968735855549</v>
      </c>
      <c r="U83" s="10">
        <f t="shared" si="65"/>
        <v>13494.801065908499</v>
      </c>
      <c r="V83" s="10">
        <f t="shared" si="65"/>
        <v>15151.738299274164</v>
      </c>
      <c r="W83" s="10">
        <f t="shared" ref="W83" si="66">SUM(W68:W82)</f>
        <v>16992.649521349304</v>
      </c>
    </row>
    <row r="84" spans="1:115" x14ac:dyDescent="0.2">
      <c r="B84" s="6" t="s">
        <v>79</v>
      </c>
      <c r="O84" s="6">
        <v>-909</v>
      </c>
      <c r="P84" s="6">
        <v>0</v>
      </c>
      <c r="Q84" s="6">
        <v>-59</v>
      </c>
      <c r="Y84" s="6" t="s">
        <v>29</v>
      </c>
      <c r="Z84" s="15">
        <v>0.02</v>
      </c>
    </row>
    <row r="85" spans="1:115" x14ac:dyDescent="0.2">
      <c r="B85" s="6" t="s">
        <v>78</v>
      </c>
      <c r="O85" s="6">
        <v>683</v>
      </c>
      <c r="P85" s="6">
        <v>965</v>
      </c>
      <c r="Q85" s="6">
        <v>486</v>
      </c>
      <c r="Y85" s="6" t="s">
        <v>30</v>
      </c>
      <c r="Z85" s="15">
        <v>0.01</v>
      </c>
    </row>
    <row r="86" spans="1:115" x14ac:dyDescent="0.2">
      <c r="B86" s="6" t="s">
        <v>80</v>
      </c>
      <c r="O86" s="6">
        <v>270</v>
      </c>
      <c r="P86" s="6">
        <v>223</v>
      </c>
      <c r="Q86" s="6">
        <v>11</v>
      </c>
      <c r="Y86" s="6" t="s">
        <v>31</v>
      </c>
      <c r="Z86" s="11">
        <v>8.5000000000000006E-2</v>
      </c>
    </row>
    <row r="87" spans="1:115" x14ac:dyDescent="0.2">
      <c r="B87" s="6" t="s">
        <v>81</v>
      </c>
      <c r="O87" s="6">
        <v>-126</v>
      </c>
      <c r="P87" s="6">
        <v>0</v>
      </c>
      <c r="Q87" s="6">
        <v>0</v>
      </c>
      <c r="Y87" s="6" t="s">
        <v>32</v>
      </c>
      <c r="Z87" s="10">
        <f>NPV(Z86,R92:DK92)+Main!O5-Main!O6</f>
        <v>189943.56809548015</v>
      </c>
    </row>
    <row r="88" spans="1:115" x14ac:dyDescent="0.2">
      <c r="B88" s="6" t="s">
        <v>82</v>
      </c>
      <c r="O88" s="6">
        <v>-442</v>
      </c>
      <c r="P88" s="6">
        <v>-360</v>
      </c>
      <c r="Q88" s="6">
        <v>-183</v>
      </c>
      <c r="Y88" s="6" t="s">
        <v>0</v>
      </c>
      <c r="Z88" s="9">
        <f>Z87/Main!O3</f>
        <v>447.76890168665761</v>
      </c>
    </row>
    <row r="89" spans="1:115" x14ac:dyDescent="0.2">
      <c r="B89" s="6" t="s">
        <v>83</v>
      </c>
      <c r="O89" s="6">
        <v>-46</v>
      </c>
      <c r="P89" s="6">
        <v>-53</v>
      </c>
      <c r="Q89" s="6">
        <v>-108</v>
      </c>
      <c r="Y89" s="6" t="s">
        <v>33</v>
      </c>
      <c r="Z89" s="14">
        <f>Z88/Main!O2-1</f>
        <v>0.31310528353858547</v>
      </c>
    </row>
    <row r="90" spans="1:115" x14ac:dyDescent="0.2">
      <c r="B90" s="6" t="s">
        <v>84</v>
      </c>
      <c r="O90" s="6">
        <v>0</v>
      </c>
      <c r="P90" s="6">
        <v>1</v>
      </c>
      <c r="Q90" s="6">
        <v>2</v>
      </c>
    </row>
    <row r="91" spans="1:115" s="10" customFormat="1" x14ac:dyDescent="0.2">
      <c r="A91" s="6"/>
      <c r="B91" s="10" t="s">
        <v>85</v>
      </c>
      <c r="C91" s="1"/>
      <c r="D91" s="1"/>
      <c r="E91" s="1"/>
      <c r="F91" s="1"/>
      <c r="H91" s="1"/>
      <c r="I91" s="1"/>
      <c r="J91" s="1"/>
      <c r="K91" s="1"/>
      <c r="O91" s="10">
        <f>O88+O87</f>
        <v>-568</v>
      </c>
      <c r="P91" s="10">
        <f t="shared" ref="P91:Q91" si="67">P88+P87</f>
        <v>-360</v>
      </c>
      <c r="Q91" s="10">
        <f t="shared" si="67"/>
        <v>-183</v>
      </c>
      <c r="R91" s="10">
        <v>-300</v>
      </c>
      <c r="S91" s="10">
        <f t="shared" ref="S91:W91" si="68">R91*(1+S27)</f>
        <v>-330</v>
      </c>
      <c r="T91" s="10">
        <f t="shared" si="68"/>
        <v>-363.00000000000006</v>
      </c>
      <c r="U91" s="10">
        <f t="shared" si="68"/>
        <v>-399.30000000000007</v>
      </c>
      <c r="V91" s="10">
        <f t="shared" si="68"/>
        <v>-439.23000000000013</v>
      </c>
      <c r="W91" s="10">
        <f t="shared" si="68"/>
        <v>-483.15300000000019</v>
      </c>
    </row>
    <row r="92" spans="1:115" s="10" customFormat="1" x14ac:dyDescent="0.2">
      <c r="A92" s="6"/>
      <c r="B92" s="10" t="s">
        <v>26</v>
      </c>
      <c r="C92" s="1"/>
      <c r="D92" s="1"/>
      <c r="E92" s="1"/>
      <c r="F92" s="1"/>
      <c r="H92" s="1"/>
      <c r="I92" s="1"/>
      <c r="J92" s="1"/>
      <c r="K92" s="1"/>
      <c r="O92" s="10">
        <f>O83+O91</f>
        <v>7270</v>
      </c>
      <c r="P92" s="10">
        <f t="shared" ref="P92:V92" si="69">P83+P91</f>
        <v>6942</v>
      </c>
      <c r="Q92" s="10">
        <f t="shared" si="69"/>
        <v>7873</v>
      </c>
      <c r="R92" s="10">
        <f t="shared" si="69"/>
        <v>9242.5354786053977</v>
      </c>
      <c r="S92" s="10">
        <f t="shared" si="69"/>
        <v>10333.080022274735</v>
      </c>
      <c r="T92" s="10">
        <f t="shared" si="69"/>
        <v>11640.968735855549</v>
      </c>
      <c r="U92" s="10">
        <f t="shared" si="69"/>
        <v>13095.5010659085</v>
      </c>
      <c r="V92" s="10">
        <f t="shared" si="69"/>
        <v>14712.508299274165</v>
      </c>
      <c r="W92" s="10">
        <f t="shared" ref="W92" si="70">W83+W91</f>
        <v>16509.496521349305</v>
      </c>
      <c r="X92" s="10">
        <f>W92*(1+$Z$85)</f>
        <v>16674.5914865628</v>
      </c>
      <c r="Y92" s="10">
        <f>X92*(1+$Z$85)</f>
        <v>16841.337401428427</v>
      </c>
      <c r="Z92" s="10">
        <f>Y92*(1+$Z$85)</f>
        <v>17009.750775442713</v>
      </c>
      <c r="AA92" s="10">
        <f>Z92*(1+$Z$85)</f>
        <v>17179.848283197141</v>
      </c>
      <c r="AB92" s="10">
        <f>AA92*(1+$Z$85)</f>
        <v>17351.646766029113</v>
      </c>
      <c r="AC92" s="10">
        <f>AB92*(1+$Z$85)</f>
        <v>17525.163233689404</v>
      </c>
      <c r="AD92" s="10">
        <f>AC92*(1+$Z$85)</f>
        <v>17700.414866026298</v>
      </c>
      <c r="AE92" s="10">
        <f>AD92*(1+$Z$85)</f>
        <v>17877.419014686562</v>
      </c>
      <c r="AF92" s="10">
        <f>AE92*(1+$Z$85)</f>
        <v>18056.193204833427</v>
      </c>
      <c r="AG92" s="10">
        <f>AF92*(1+$Z$85)</f>
        <v>18236.755136881762</v>
      </c>
      <c r="AH92" s="10">
        <f>AG92*(1+$Z$85)</f>
        <v>18419.12268825058</v>
      </c>
      <c r="AI92" s="10">
        <f>AH92*(1+$Z$85)</f>
        <v>18603.313915133087</v>
      </c>
      <c r="AJ92" s="10">
        <f>AI92*(1+$Z$85)</f>
        <v>18789.347054284419</v>
      </c>
      <c r="AK92" s="10">
        <f>AJ92*(1+$Z$85)</f>
        <v>18977.240524827263</v>
      </c>
      <c r="AL92" s="10">
        <f>AK92*(1+$Z$85)</f>
        <v>19167.012930075536</v>
      </c>
      <c r="AM92" s="10">
        <f>AL92*(1+$Z$85)</f>
        <v>19358.683059376293</v>
      </c>
      <c r="AN92" s="10">
        <f>AM92*(1+$Z$85)</f>
        <v>19552.269889970055</v>
      </c>
      <c r="AO92" s="10">
        <f>AN92*(1+$Z$85)</f>
        <v>19747.792588869757</v>
      </c>
      <c r="AP92" s="10">
        <f>AO92*(1+$Z$85)</f>
        <v>19945.270514758457</v>
      </c>
      <c r="AQ92" s="10">
        <f>AP92*(1+$Z$85)</f>
        <v>20144.723219906042</v>
      </c>
      <c r="AR92" s="10">
        <f>AQ92*(1+$Z$85)</f>
        <v>20346.170452105103</v>
      </c>
      <c r="AS92" s="10">
        <f>AR92*(1+$Z$85)</f>
        <v>20549.632156626154</v>
      </c>
      <c r="AT92" s="10">
        <f>AS92*(1+$Z$85)</f>
        <v>20755.128478192415</v>
      </c>
      <c r="AU92" s="10">
        <f>AT92*(1+$Z$85)</f>
        <v>20962.679762974338</v>
      </c>
      <c r="AV92" s="10">
        <f>AU92*(1+$Z$85)</f>
        <v>21172.30656060408</v>
      </c>
      <c r="AW92" s="10">
        <f>AV92*(1+$Z$85)</f>
        <v>21384.029626210122</v>
      </c>
      <c r="AX92" s="10">
        <f>AW92*(1+$Z$85)</f>
        <v>21597.869922472222</v>
      </c>
      <c r="AY92" s="10">
        <f>AX92*(1+$Z$85)</f>
        <v>21813.848621696943</v>
      </c>
      <c r="AZ92" s="10">
        <f>AY92*(1+$Z$85)</f>
        <v>22031.987107913912</v>
      </c>
      <c r="BA92" s="10">
        <f>AZ92*(1+$Z$85)</f>
        <v>22252.306978993052</v>
      </c>
      <c r="BB92" s="10">
        <f>BA92*(1+$Z$85)</f>
        <v>22474.830048782984</v>
      </c>
      <c r="BC92" s="10">
        <f>BB92*(1+$Z$85)</f>
        <v>22699.578349270814</v>
      </c>
      <c r="BD92" s="10">
        <f>BC92*(1+$Z$85)</f>
        <v>22926.574132763522</v>
      </c>
      <c r="BE92" s="10">
        <f>BD92*(1+$Z$85)</f>
        <v>23155.839874091158</v>
      </c>
      <c r="BF92" s="10">
        <f>BE92*(1+$Z$85)</f>
        <v>23387.39827283207</v>
      </c>
      <c r="BG92" s="10">
        <f>BF92*(1+$Z$85)</f>
        <v>23621.27225556039</v>
      </c>
      <c r="BH92" s="10">
        <f>BG92*(1+$Z$85)</f>
        <v>23857.484978115994</v>
      </c>
      <c r="BI92" s="10">
        <f>BH92*(1+$Z$85)</f>
        <v>24096.059827897156</v>
      </c>
      <c r="BJ92" s="10">
        <f>BI92*(1+$Z$85)</f>
        <v>24337.020426176128</v>
      </c>
      <c r="BK92" s="10">
        <f>BJ92*(1+$Z$85)</f>
        <v>24580.390630437891</v>
      </c>
      <c r="BL92" s="10">
        <f>BK92*(1+$Z$85)</f>
        <v>24826.19453674227</v>
      </c>
      <c r="BM92" s="10">
        <f>BL92*(1+$Z$85)</f>
        <v>25074.456482109694</v>
      </c>
      <c r="BN92" s="10">
        <f>BM92*(1+$Z$85)</f>
        <v>25325.20104693079</v>
      </c>
      <c r="BO92" s="10">
        <f>BN92*(1+$Z$85)</f>
        <v>25578.453057400096</v>
      </c>
      <c r="BP92" s="10">
        <f>BO92*(1+$Z$85)</f>
        <v>25834.237587974098</v>
      </c>
      <c r="BQ92" s="10">
        <f>BP92*(1+$Z$85)</f>
        <v>26092.579963853837</v>
      </c>
      <c r="BR92" s="10">
        <f>BQ92*(1+$Z$85)</f>
        <v>26353.505763492376</v>
      </c>
      <c r="BS92" s="10">
        <f>BR92*(1+$Z$85)</f>
        <v>26617.040821127299</v>
      </c>
      <c r="BT92" s="10">
        <f>BS92*(1+$Z$85)</f>
        <v>26883.211229338573</v>
      </c>
      <c r="BU92" s="10">
        <f>BT92*(1+$Z$85)</f>
        <v>27152.043341631957</v>
      </c>
      <c r="BV92" s="10">
        <f>BU92*(1+$Z$85)</f>
        <v>27423.563775048278</v>
      </c>
      <c r="BW92" s="10">
        <f>BV92*(1+$Z$85)</f>
        <v>27697.799412798762</v>
      </c>
      <c r="BX92" s="10">
        <f>BW92*(1+$Z$85)</f>
        <v>27974.777406926751</v>
      </c>
      <c r="BY92" s="10">
        <f>BX92*(1+$Z$85)</f>
        <v>28254.525180996017</v>
      </c>
      <c r="BZ92" s="10">
        <f>BY92*(1+$Z$85)</f>
        <v>28537.070432805976</v>
      </c>
      <c r="CA92" s="10">
        <f>BZ92*(1+$Z$85)</f>
        <v>28822.441137134036</v>
      </c>
      <c r="CB92" s="10">
        <f>CA92*(1+$Z$85)</f>
        <v>29110.665548505378</v>
      </c>
      <c r="CC92" s="10">
        <f>CB92*(1+$Z$85)</f>
        <v>29401.772203990433</v>
      </c>
      <c r="CD92" s="10">
        <f>CC92*(1+$Z$85)</f>
        <v>29695.789926030338</v>
      </c>
      <c r="CE92" s="10">
        <f>CD92*(1+$Z$85)</f>
        <v>29992.74782529064</v>
      </c>
      <c r="CF92" s="10">
        <f>CE92*(1+$Z$85)</f>
        <v>30292.675303543547</v>
      </c>
      <c r="CG92" s="10">
        <f>CF92*(1+$Z$85)</f>
        <v>30595.602056578984</v>
      </c>
      <c r="CH92" s="10">
        <f>CG92*(1+$Z$85)</f>
        <v>30901.558077144775</v>
      </c>
      <c r="CI92" s="10">
        <f>CH92*(1+$Z$85)</f>
        <v>31210.573657916222</v>
      </c>
      <c r="CJ92" s="10">
        <f>CI92*(1+$Z$85)</f>
        <v>31522.679394495386</v>
      </c>
      <c r="CK92" s="10">
        <f>CJ92*(1+$Z$85)</f>
        <v>31837.906188440342</v>
      </c>
      <c r="CL92" s="10">
        <f>CK92*(1+$Z$85)</f>
        <v>32156.285250324745</v>
      </c>
      <c r="CM92" s="10">
        <f>CL92*(1+$Z$85)</f>
        <v>32477.848102827993</v>
      </c>
      <c r="CN92" s="10">
        <f>CM92*(1+$Z$85)</f>
        <v>32802.626583856276</v>
      </c>
      <c r="CO92" s="10">
        <f>CN92*(1+$Z$85)</f>
        <v>33130.652849694838</v>
      </c>
      <c r="CP92" s="10">
        <f>CO92*(1+$Z$85)</f>
        <v>33461.959378191787</v>
      </c>
      <c r="CQ92" s="10">
        <f>CP92*(1+$Z$85)</f>
        <v>33796.578971973708</v>
      </c>
      <c r="CR92" s="10">
        <f>CQ92*(1+$Z$85)</f>
        <v>34134.544761693447</v>
      </c>
      <c r="CS92" s="10">
        <f>CR92*(1+$Z$85)</f>
        <v>34475.890209310382</v>
      </c>
      <c r="CT92" s="10">
        <f>CS92*(1+$Z$85)</f>
        <v>34820.649111403487</v>
      </c>
      <c r="CU92" s="10">
        <f>CT92*(1+$Z$85)</f>
        <v>35168.85560251752</v>
      </c>
      <c r="CV92" s="10">
        <f>CU92*(1+$Z$85)</f>
        <v>35520.544158542696</v>
      </c>
      <c r="CW92" s="10">
        <f>CV92*(1+$Z$85)</f>
        <v>35875.749600128125</v>
      </c>
      <c r="CX92" s="10">
        <f>CW92*(1+$Z$85)</f>
        <v>36234.507096129404</v>
      </c>
      <c r="CY92" s="10">
        <f>CX92*(1+$Z$85)</f>
        <v>36596.852167090699</v>
      </c>
      <c r="CZ92" s="10">
        <f>CY92*(1+$Z$85)</f>
        <v>36962.820688761603</v>
      </c>
      <c r="DA92" s="10">
        <f>CZ92*(1+$Z$85)</f>
        <v>37332.448895649221</v>
      </c>
      <c r="DB92" s="10">
        <f>DA92*(1+$Z$85)</f>
        <v>37705.773384605716</v>
      </c>
      <c r="DC92" s="10">
        <f>DB92*(1+$Z$85)</f>
        <v>38082.831118451773</v>
      </c>
      <c r="DD92" s="10">
        <f>DC92*(1+$Z$85)</f>
        <v>38463.659429636289</v>
      </c>
      <c r="DE92" s="10">
        <f>DD92*(1+$Z$85)</f>
        <v>38848.296023932649</v>
      </c>
      <c r="DF92" s="10">
        <f>DE92*(1+$Z$85)</f>
        <v>39236.778984171979</v>
      </c>
      <c r="DG92" s="10">
        <f>DF92*(1+$Z$85)</f>
        <v>39629.146774013701</v>
      </c>
      <c r="DH92" s="10">
        <f>DG92*(1+$Z$85)</f>
        <v>40025.438241753836</v>
      </c>
      <c r="DI92" s="10">
        <f>DH92*(1+$Z$85)</f>
        <v>40425.692624171374</v>
      </c>
      <c r="DJ92" s="10">
        <f>DI92*(1+$Z$85)</f>
        <v>40829.94955041309</v>
      </c>
      <c r="DK92" s="10">
        <f>DJ92*(1+$Z$85)</f>
        <v>41238.249045917219</v>
      </c>
    </row>
    <row r="93" spans="1:115" x14ac:dyDescent="0.2">
      <c r="O93" s="14"/>
      <c r="P93" s="14"/>
      <c r="Q93" s="14"/>
    </row>
    <row r="94" spans="1:115" x14ac:dyDescent="0.2">
      <c r="Q94" s="14"/>
      <c r="R94" s="14"/>
      <c r="S94" s="14"/>
      <c r="T94" s="14"/>
      <c r="U94" s="14"/>
      <c r="V94" s="14"/>
      <c r="W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D9"/>
  <sheetViews>
    <sheetView zoomScale="130" zoomScaleNormal="130" workbookViewId="0">
      <selection activeCell="A2" sqref="A2"/>
    </sheetView>
  </sheetViews>
  <sheetFormatPr defaultRowHeight="12.75" x14ac:dyDescent="0.2"/>
  <cols>
    <col min="1" max="1" width="5" style="20" bestFit="1" customWidth="1"/>
    <col min="2" max="16384" width="9.140625" style="20"/>
  </cols>
  <sheetData>
    <row r="1" spans="1:4" ht="15" x14ac:dyDescent="0.25">
      <c r="A1" s="22" t="s">
        <v>59</v>
      </c>
    </row>
    <row r="2" spans="1:4" x14ac:dyDescent="0.2">
      <c r="B2" s="21" t="s">
        <v>92</v>
      </c>
    </row>
    <row r="3" spans="1:4" x14ac:dyDescent="0.2">
      <c r="B3" s="20" t="s">
        <v>94</v>
      </c>
      <c r="D3" s="20" t="s">
        <v>96</v>
      </c>
    </row>
    <row r="4" spans="1:4" x14ac:dyDescent="0.2">
      <c r="B4" s="1" t="s">
        <v>93</v>
      </c>
      <c r="D4" s="20" t="s">
        <v>97</v>
      </c>
    </row>
    <row r="5" spans="1:4" x14ac:dyDescent="0.2">
      <c r="B5" s="20" t="s">
        <v>98</v>
      </c>
    </row>
    <row r="7" spans="1:4" x14ac:dyDescent="0.2">
      <c r="B7" s="21" t="s">
        <v>95</v>
      </c>
    </row>
    <row r="8" spans="1:4" x14ac:dyDescent="0.2">
      <c r="B8" s="20" t="s">
        <v>99</v>
      </c>
    </row>
    <row r="9" spans="1:4" x14ac:dyDescent="0.2">
      <c r="B9" s="20" t="s">
        <v>100</v>
      </c>
    </row>
  </sheetData>
  <hyperlinks>
    <hyperlink ref="A1" location="Main!A1" display="Main" xr:uid="{57CC344B-77FC-4721-A491-E9AD202E5F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2025-08-11T01:32:14Z</dcterms:modified>
</cp:coreProperties>
</file>