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539FB7D9-608F-4FB6-8EED-FA57834F6B13}" xr6:coauthVersionLast="47" xr6:coauthVersionMax="47" xr10:uidLastSave="{00000000-0000-0000-0000-000000000000}"/>
  <bookViews>
    <workbookView xWindow="-105" yWindow="0" windowWidth="14610" windowHeight="15585" activeTab="1" xr2:uid="{A01DB42C-5223-4941-B241-BC5C0C7D8EF1}"/>
  </bookViews>
  <sheets>
    <sheet name="Main" sheetId="1" r:id="rId1"/>
    <sheet name="Model" sheetId="2" r:id="rId2"/>
    <sheet name="Literatur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9" i="2" l="1"/>
  <c r="Y19" i="2"/>
  <c r="Z19" i="2"/>
  <c r="W19" i="2"/>
  <c r="C83" i="2"/>
  <c r="G83" i="2"/>
  <c r="C81" i="2"/>
  <c r="G81" i="2"/>
  <c r="G79" i="2"/>
  <c r="G75" i="2"/>
  <c r="G67" i="2" l="1"/>
  <c r="C73" i="2"/>
  <c r="G71" i="2"/>
  <c r="G73" i="2" s="1"/>
  <c r="C68" i="2" l="1"/>
  <c r="G68" i="2"/>
  <c r="K6" i="1"/>
  <c r="K5" i="1"/>
  <c r="C32" i="2"/>
  <c r="G32" i="2"/>
  <c r="H16" i="2" s="1"/>
  <c r="C50" i="2"/>
  <c r="G50" i="2"/>
  <c r="C43" i="2"/>
  <c r="G43" i="2"/>
  <c r="I29" i="2"/>
  <c r="J29" i="2" s="1"/>
  <c r="V8" i="2"/>
  <c r="W8" i="2" s="1"/>
  <c r="X8" i="2" s="1"/>
  <c r="Y8" i="2" s="1"/>
  <c r="Z8" i="2" s="1"/>
  <c r="D25" i="2"/>
  <c r="E25" i="2"/>
  <c r="F25" i="2"/>
  <c r="G27" i="2"/>
  <c r="G26" i="2"/>
  <c r="V5" i="2"/>
  <c r="W5" i="2" s="1"/>
  <c r="X5" i="2" s="1"/>
  <c r="Y5" i="2" s="1"/>
  <c r="Z5" i="2" s="1"/>
  <c r="Q8" i="2"/>
  <c r="R8" i="2"/>
  <c r="S8" i="2"/>
  <c r="T8" i="2"/>
  <c r="V6" i="2"/>
  <c r="W6" i="2" s="1"/>
  <c r="X6" i="2" s="1"/>
  <c r="Y6" i="2" s="1"/>
  <c r="Z6" i="2" s="1"/>
  <c r="V7" i="2"/>
  <c r="W7" i="2" s="1"/>
  <c r="X7" i="2" s="1"/>
  <c r="Y7" i="2" s="1"/>
  <c r="Z7" i="2" s="1"/>
  <c r="H13" i="2"/>
  <c r="I13" i="2" s="1"/>
  <c r="J13" i="2" s="1"/>
  <c r="J27" i="2" s="1"/>
  <c r="H12" i="2"/>
  <c r="I12" i="2" s="1"/>
  <c r="J12" i="2" s="1"/>
  <c r="J26" i="2" s="1"/>
  <c r="U26" i="2"/>
  <c r="U27" i="2"/>
  <c r="T27" i="2"/>
  <c r="T26" i="2"/>
  <c r="R2" i="2"/>
  <c r="S2" i="2" s="1"/>
  <c r="T2" i="2" s="1"/>
  <c r="U2" i="2" s="1"/>
  <c r="V2" i="2" s="1"/>
  <c r="W2" i="2" s="1"/>
  <c r="X2" i="2" s="1"/>
  <c r="Y2" i="2" s="1"/>
  <c r="Z2" i="2" s="1"/>
  <c r="I9" i="2"/>
  <c r="J9" i="2" s="1"/>
  <c r="K9" i="2" s="1"/>
  <c r="L9" i="2" s="1"/>
  <c r="M9" i="2" s="1"/>
  <c r="N9" i="2" s="1"/>
  <c r="V56" i="2"/>
  <c r="W56" i="2" s="1"/>
  <c r="X56" i="2" s="1"/>
  <c r="U68" i="2"/>
  <c r="T68" i="2"/>
  <c r="G8" i="2"/>
  <c r="G9" i="2" s="1"/>
  <c r="H25" i="2" s="1"/>
  <c r="H10" i="2"/>
  <c r="H24" i="2"/>
  <c r="V17" i="2"/>
  <c r="X17" i="2" s="1"/>
  <c r="Y17" i="2" s="1"/>
  <c r="Z17" i="2" s="1"/>
  <c r="H21" i="2"/>
  <c r="I21" i="2" s="1"/>
  <c r="J21" i="2" s="1"/>
  <c r="V21" i="2" s="1"/>
  <c r="W21" i="2" s="1"/>
  <c r="X21" i="2" s="1"/>
  <c r="Y21" i="2" s="1"/>
  <c r="Z21" i="2" s="1"/>
  <c r="G16" i="2"/>
  <c r="C16" i="2"/>
  <c r="D11" i="2"/>
  <c r="D29" i="2" s="1"/>
  <c r="E11" i="2"/>
  <c r="E29" i="2" s="1"/>
  <c r="F11" i="2"/>
  <c r="F29" i="2" s="1"/>
  <c r="D14" i="2"/>
  <c r="E14" i="2"/>
  <c r="F14" i="2"/>
  <c r="G14" i="2"/>
  <c r="C14" i="2"/>
  <c r="C11" i="2"/>
  <c r="P16" i="2"/>
  <c r="P14" i="2"/>
  <c r="P11" i="2"/>
  <c r="T16" i="2"/>
  <c r="S16" i="2"/>
  <c r="U16" i="2"/>
  <c r="R24" i="2"/>
  <c r="Q24" i="2"/>
  <c r="S24" i="2"/>
  <c r="U24" i="2"/>
  <c r="T24" i="2"/>
  <c r="R11" i="2"/>
  <c r="S11" i="2"/>
  <c r="S29" i="2" s="1"/>
  <c r="T11" i="2"/>
  <c r="U11" i="2"/>
  <c r="U29" i="2" s="1"/>
  <c r="R14" i="2"/>
  <c r="S14" i="2"/>
  <c r="T14" i="2"/>
  <c r="U14" i="2"/>
  <c r="R16" i="2"/>
  <c r="Q16" i="2"/>
  <c r="Q14" i="2"/>
  <c r="Q11" i="2"/>
  <c r="Q29" i="2" s="1"/>
  <c r="U47" i="2"/>
  <c r="U33" i="2"/>
  <c r="K4" i="1"/>
  <c r="G51" i="2" l="1"/>
  <c r="G52" i="2" s="1"/>
  <c r="I26" i="2"/>
  <c r="C51" i="2"/>
  <c r="C52" i="2" s="1"/>
  <c r="H27" i="2"/>
  <c r="H26" i="2"/>
  <c r="I27" i="2"/>
  <c r="V9" i="2"/>
  <c r="W9" i="2" s="1"/>
  <c r="X9" i="2" s="1"/>
  <c r="Y9" i="2" s="1"/>
  <c r="Z9" i="2" s="1"/>
  <c r="H14" i="2"/>
  <c r="V13" i="2"/>
  <c r="J14" i="2"/>
  <c r="V12" i="2"/>
  <c r="W12" i="2" s="1"/>
  <c r="X12" i="2" s="1"/>
  <c r="Y12" i="2" s="1"/>
  <c r="Z12" i="2" s="1"/>
  <c r="I14" i="2"/>
  <c r="T83" i="2"/>
  <c r="U83" i="2"/>
  <c r="Y56" i="2"/>
  <c r="G11" i="2"/>
  <c r="G15" i="2" s="1"/>
  <c r="G30" i="2" s="1"/>
  <c r="J24" i="2"/>
  <c r="H11" i="2"/>
  <c r="I24" i="2"/>
  <c r="G24" i="2"/>
  <c r="G25" i="2"/>
  <c r="J25" i="2"/>
  <c r="I25" i="2"/>
  <c r="J10" i="2"/>
  <c r="J11" i="2" s="1"/>
  <c r="I10" i="2"/>
  <c r="C15" i="2"/>
  <c r="C18" i="2" s="1"/>
  <c r="D15" i="2"/>
  <c r="D30" i="2" s="1"/>
  <c r="E15" i="2"/>
  <c r="E30" i="2" s="1"/>
  <c r="F15" i="2"/>
  <c r="F30" i="2" s="1"/>
  <c r="P15" i="2"/>
  <c r="P18" i="2" s="1"/>
  <c r="P20" i="2" s="1"/>
  <c r="C29" i="2"/>
  <c r="T15" i="2"/>
  <c r="R15" i="2"/>
  <c r="R18" i="2" s="1"/>
  <c r="T29" i="2"/>
  <c r="R29" i="2"/>
  <c r="Q15" i="2"/>
  <c r="Q18" i="2" s="1"/>
  <c r="U15" i="2"/>
  <c r="S15" i="2"/>
  <c r="U32" i="2"/>
  <c r="K7" i="1"/>
  <c r="H15" i="2" l="1"/>
  <c r="H18" i="2" s="1"/>
  <c r="H19" i="2" s="1"/>
  <c r="W13" i="2"/>
  <c r="V27" i="2"/>
  <c r="V14" i="2"/>
  <c r="V26" i="2"/>
  <c r="V10" i="2"/>
  <c r="V11" i="2" s="1"/>
  <c r="V29" i="2" s="1"/>
  <c r="Z56" i="2"/>
  <c r="G29" i="2"/>
  <c r="I11" i="2"/>
  <c r="I15" i="2" s="1"/>
  <c r="I30" i="2" s="1"/>
  <c r="J15" i="2"/>
  <c r="J30" i="2" s="1"/>
  <c r="C20" i="2"/>
  <c r="D18" i="2"/>
  <c r="C30" i="2"/>
  <c r="F18" i="2"/>
  <c r="E18" i="2"/>
  <c r="H30" i="2"/>
  <c r="G18" i="2"/>
  <c r="V24" i="2"/>
  <c r="V70" i="2" s="1"/>
  <c r="U18" i="2"/>
  <c r="U20" i="2" s="1"/>
  <c r="U54" i="2" s="1"/>
  <c r="U30" i="2"/>
  <c r="S18" i="2"/>
  <c r="S20" i="2" s="1"/>
  <c r="S30" i="2"/>
  <c r="T18" i="2"/>
  <c r="T30" i="2"/>
  <c r="R20" i="2"/>
  <c r="R54" i="2" s="1"/>
  <c r="C22" i="2" l="1"/>
  <c r="C54" i="2"/>
  <c r="W26" i="2"/>
  <c r="X13" i="2"/>
  <c r="W27" i="2"/>
  <c r="W14" i="2"/>
  <c r="V66" i="2"/>
  <c r="V57" i="2"/>
  <c r="V65" i="2"/>
  <c r="H20" i="2"/>
  <c r="G20" i="2"/>
  <c r="F20" i="2"/>
  <c r="F22" i="2" s="1"/>
  <c r="E20" i="2"/>
  <c r="E22" i="2" s="1"/>
  <c r="D20" i="2"/>
  <c r="D22" i="2" s="1"/>
  <c r="T20" i="2"/>
  <c r="T54" i="2" s="1"/>
  <c r="W24" i="2"/>
  <c r="W70" i="2" s="1"/>
  <c r="W10" i="2"/>
  <c r="W11" i="2" s="1"/>
  <c r="U22" i="2"/>
  <c r="S54" i="2"/>
  <c r="S22" i="2"/>
  <c r="G22" i="2" l="1"/>
  <c r="G54" i="2"/>
  <c r="Y13" i="2"/>
  <c r="X27" i="2"/>
  <c r="X26" i="2"/>
  <c r="X14" i="2"/>
  <c r="W65" i="2"/>
  <c r="W57" i="2"/>
  <c r="W66" i="2"/>
  <c r="H22" i="2"/>
  <c r="H32" i="2"/>
  <c r="I16" i="2" s="1"/>
  <c r="T22" i="2"/>
  <c r="X10" i="2"/>
  <c r="X11" i="2" s="1"/>
  <c r="X24" i="2"/>
  <c r="X70" i="2" s="1"/>
  <c r="V15" i="2"/>
  <c r="V30" i="2" s="1"/>
  <c r="Q20" i="2"/>
  <c r="Q54" i="2" s="1"/>
  <c r="Z26" i="2" l="1"/>
  <c r="Y26" i="2"/>
  <c r="Z13" i="2"/>
  <c r="Z27" i="2" s="1"/>
  <c r="Y27" i="2"/>
  <c r="Y14" i="2"/>
  <c r="X66" i="2"/>
  <c r="X57" i="2"/>
  <c r="X65" i="2"/>
  <c r="I18" i="2"/>
  <c r="I19" i="2" s="1"/>
  <c r="Y10" i="2"/>
  <c r="Y11" i="2" s="1"/>
  <c r="Y24" i="2"/>
  <c r="Y70" i="2" s="1"/>
  <c r="Z14" i="2" l="1"/>
  <c r="Y65" i="2"/>
  <c r="Y57" i="2"/>
  <c r="Y66" i="2"/>
  <c r="I20" i="2"/>
  <c r="I32" i="2" s="1"/>
  <c r="Z24" i="2"/>
  <c r="Z70" i="2" s="1"/>
  <c r="Z10" i="2"/>
  <c r="Z11" i="2" s="1"/>
  <c r="Y15" i="2"/>
  <c r="X15" i="2"/>
  <c r="X30" i="2" s="1"/>
  <c r="W15" i="2"/>
  <c r="W30" i="2" s="1"/>
  <c r="Z66" i="2" l="1"/>
  <c r="Z57" i="2"/>
  <c r="Z65" i="2"/>
  <c r="Z15" i="2"/>
  <c r="Z30" i="2" s="1"/>
  <c r="I22" i="2"/>
  <c r="Y30" i="2"/>
  <c r="J16" i="2" l="1"/>
  <c r="J18" i="2" l="1"/>
  <c r="J19" i="2" s="1"/>
  <c r="V16" i="2"/>
  <c r="V18" i="2" l="1"/>
  <c r="J20" i="2"/>
  <c r="J32" i="2" s="1"/>
  <c r="V32" i="2" s="1"/>
  <c r="V19" i="2"/>
  <c r="J22" i="2" l="1"/>
  <c r="V20" i="2"/>
  <c r="W16" i="2"/>
  <c r="W18" i="2" s="1"/>
  <c r="W32" i="2" l="1"/>
  <c r="X16" i="2" s="1"/>
  <c r="X18" i="2" s="1"/>
  <c r="W20" i="2"/>
  <c r="V22" i="2"/>
  <c r="V54" i="2"/>
  <c r="V68" i="2" s="1"/>
  <c r="V83" i="2" s="1"/>
  <c r="X32" i="2" l="1"/>
  <c r="Y16" i="2" s="1"/>
  <c r="Y18" i="2" s="1"/>
  <c r="W54" i="2"/>
  <c r="W68" i="2" s="1"/>
  <c r="W83" i="2" s="1"/>
  <c r="W22" i="2"/>
  <c r="X20" i="2"/>
  <c r="Y32" i="2" l="1"/>
  <c r="X22" i="2"/>
  <c r="X54" i="2"/>
  <c r="X68" i="2" s="1"/>
  <c r="X83" i="2" s="1"/>
  <c r="Z16" i="2"/>
  <c r="Z18" i="2" s="1"/>
  <c r="Y20" i="2"/>
  <c r="Z32" i="2" l="1"/>
  <c r="Z20" i="2"/>
  <c r="AA20" i="2" s="1"/>
  <c r="AB20" i="2" s="1"/>
  <c r="AC20" i="2" s="1"/>
  <c r="AD20" i="2" s="1"/>
  <c r="AE20" i="2" s="1"/>
  <c r="AF20" i="2" s="1"/>
  <c r="Y54" i="2"/>
  <c r="Y68" i="2" s="1"/>
  <c r="Y83" i="2" s="1"/>
  <c r="Y22" i="2"/>
  <c r="Z54" i="2" l="1"/>
  <c r="Z68" i="2" s="1"/>
  <c r="Z83" i="2" s="1"/>
  <c r="AA83" i="2" s="1"/>
  <c r="AB83" i="2" s="1"/>
  <c r="AC83" i="2" s="1"/>
  <c r="AD83" i="2" s="1"/>
  <c r="AE83" i="2" s="1"/>
  <c r="AF83" i="2" s="1"/>
  <c r="Z22" i="2"/>
  <c r="AG83" i="2" l="1"/>
  <c r="AH83" i="2" s="1"/>
  <c r="AI83" i="2" s="1"/>
  <c r="AJ83" i="2" s="1"/>
  <c r="AK83" i="2" s="1"/>
  <c r="AL83" i="2" s="1"/>
  <c r="AM83" i="2" s="1"/>
  <c r="AN83" i="2" s="1"/>
  <c r="AO83" i="2" s="1"/>
  <c r="AP83" i="2" s="1"/>
  <c r="AQ83" i="2" s="1"/>
  <c r="AR83" i="2" s="1"/>
  <c r="AS83" i="2" s="1"/>
  <c r="AT83" i="2" s="1"/>
  <c r="AU83" i="2" s="1"/>
  <c r="AV83" i="2" s="1"/>
  <c r="AW83" i="2" s="1"/>
  <c r="AX83" i="2" s="1"/>
  <c r="AY83" i="2" s="1"/>
  <c r="AZ83" i="2" s="1"/>
  <c r="BA83" i="2" s="1"/>
  <c r="BB83" i="2" s="1"/>
  <c r="BC83" i="2" s="1"/>
  <c r="BD83" i="2" s="1"/>
  <c r="BE83" i="2" s="1"/>
  <c r="BF83" i="2" s="1"/>
  <c r="BG83" i="2" s="1"/>
  <c r="BH83" i="2" s="1"/>
  <c r="BI83" i="2" s="1"/>
  <c r="BJ83" i="2" s="1"/>
  <c r="BK83" i="2" s="1"/>
  <c r="BL83" i="2" s="1"/>
  <c r="BM83" i="2" s="1"/>
  <c r="BN83" i="2" s="1"/>
  <c r="BO83" i="2" s="1"/>
  <c r="BP83" i="2" s="1"/>
  <c r="BQ83" i="2" s="1"/>
  <c r="BR83" i="2" s="1"/>
  <c r="BS83" i="2" s="1"/>
  <c r="BT83" i="2" s="1"/>
  <c r="BU83" i="2" s="1"/>
  <c r="BV83" i="2" s="1"/>
  <c r="BW83" i="2" s="1"/>
  <c r="BX83" i="2" s="1"/>
  <c r="BY83" i="2" s="1"/>
  <c r="BZ83" i="2" s="1"/>
  <c r="CA83" i="2" s="1"/>
  <c r="CB83" i="2" s="1"/>
  <c r="CC83" i="2" s="1"/>
  <c r="CD83" i="2" s="1"/>
  <c r="CE83" i="2" s="1"/>
  <c r="CF83" i="2" s="1"/>
  <c r="CG83" i="2" s="1"/>
  <c r="CH83" i="2" s="1"/>
  <c r="CI83" i="2" s="1"/>
  <c r="CJ83" i="2" s="1"/>
  <c r="CK83" i="2" s="1"/>
  <c r="CL83" i="2" s="1"/>
  <c r="CM83" i="2" s="1"/>
  <c r="CN83" i="2" s="1"/>
  <c r="CO83" i="2" s="1"/>
  <c r="CP83" i="2" s="1"/>
  <c r="CQ83" i="2" s="1"/>
  <c r="CR83" i="2" s="1"/>
  <c r="CS83" i="2" s="1"/>
  <c r="CT83" i="2" s="1"/>
  <c r="CU83" i="2" s="1"/>
  <c r="CV83" i="2" s="1"/>
  <c r="CW83" i="2" s="1"/>
  <c r="CX83" i="2" s="1"/>
  <c r="CY83" i="2" s="1"/>
  <c r="CZ83" i="2" s="1"/>
  <c r="DA83" i="2" s="1"/>
  <c r="DB83" i="2" s="1"/>
  <c r="DC83" i="2" s="1"/>
  <c r="DD83" i="2" s="1"/>
  <c r="DE83" i="2" s="1"/>
  <c r="DF83" i="2" s="1"/>
  <c r="DG83" i="2" s="1"/>
  <c r="DH83" i="2" s="1"/>
  <c r="DI83" i="2" s="1"/>
  <c r="DJ83" i="2" s="1"/>
  <c r="DK83" i="2" s="1"/>
  <c r="DL83" i="2" s="1"/>
  <c r="DM83" i="2" s="1"/>
  <c r="DN83" i="2" s="1"/>
  <c r="DO83" i="2" s="1"/>
  <c r="DP83" i="2" s="1"/>
  <c r="DQ83" i="2" s="1"/>
  <c r="DR83" i="2" s="1"/>
  <c r="DS83" i="2" s="1"/>
  <c r="DT83" i="2" s="1"/>
  <c r="DU83" i="2" s="1"/>
  <c r="DV83" i="2" s="1"/>
  <c r="DW83" i="2" s="1"/>
  <c r="DX83" i="2" s="1"/>
  <c r="DY83" i="2" s="1"/>
  <c r="AC25" i="2" l="1"/>
  <c r="AC26" i="2" s="1"/>
  <c r="AC27" i="2" s="1"/>
  <c r="AG20" i="2"/>
  <c r="AH20" i="2" s="1"/>
  <c r="AI20" i="2" s="1"/>
  <c r="AJ20" i="2" s="1"/>
  <c r="AK20" i="2" s="1"/>
  <c r="AL20" i="2" s="1"/>
  <c r="AM20" i="2" s="1"/>
  <c r="AN20" i="2" s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AY20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BJ20" i="2" s="1"/>
  <c r="BK20" i="2" s="1"/>
  <c r="BL20" i="2" s="1"/>
  <c r="BM20" i="2" s="1"/>
  <c r="BN20" i="2" s="1"/>
  <c r="BO20" i="2" s="1"/>
  <c r="BP20" i="2" s="1"/>
  <c r="BQ20" i="2" s="1"/>
  <c r="BR20" i="2" s="1"/>
  <c r="BS20" i="2" s="1"/>
  <c r="BT20" i="2" s="1"/>
  <c r="BU20" i="2" s="1"/>
  <c r="BV20" i="2" s="1"/>
  <c r="BW20" i="2" s="1"/>
  <c r="BX20" i="2" s="1"/>
  <c r="BY20" i="2" s="1"/>
  <c r="BZ20" i="2" s="1"/>
  <c r="CA20" i="2" s="1"/>
  <c r="CB20" i="2" s="1"/>
  <c r="CC20" i="2" s="1"/>
  <c r="CD20" i="2" s="1"/>
  <c r="CE20" i="2" s="1"/>
  <c r="CF20" i="2" s="1"/>
  <c r="CG20" i="2" s="1"/>
  <c r="CH20" i="2" s="1"/>
  <c r="CI20" i="2" s="1"/>
  <c r="CJ20" i="2" s="1"/>
  <c r="CK20" i="2" s="1"/>
  <c r="CL20" i="2" s="1"/>
  <c r="CM20" i="2" s="1"/>
  <c r="CN20" i="2" s="1"/>
  <c r="CO20" i="2" s="1"/>
  <c r="CP20" i="2" s="1"/>
  <c r="CQ20" i="2" s="1"/>
  <c r="CR20" i="2" s="1"/>
  <c r="CS20" i="2" s="1"/>
  <c r="CT20" i="2" s="1"/>
  <c r="CU20" i="2" s="1"/>
  <c r="CV20" i="2" s="1"/>
  <c r="CW20" i="2" s="1"/>
  <c r="CX20" i="2" s="1"/>
  <c r="CY20" i="2" s="1"/>
  <c r="CZ20" i="2" s="1"/>
  <c r="DA20" i="2" s="1"/>
  <c r="DB20" i="2" s="1"/>
  <c r="DC20" i="2" s="1"/>
  <c r="DD20" i="2" s="1"/>
  <c r="DE20" i="2" s="1"/>
  <c r="DF20" i="2" s="1"/>
  <c r="DG20" i="2" s="1"/>
  <c r="DH20" i="2" s="1"/>
  <c r="DI20" i="2" s="1"/>
  <c r="DJ20" i="2" s="1"/>
  <c r="DK20" i="2" s="1"/>
  <c r="DL20" i="2" s="1"/>
  <c r="DM20" i="2" s="1"/>
  <c r="DN20" i="2" s="1"/>
  <c r="DO20" i="2" s="1"/>
  <c r="DP20" i="2" s="1"/>
  <c r="DQ20" i="2" s="1"/>
  <c r="DR20" i="2" s="1"/>
  <c r="DS20" i="2" s="1"/>
  <c r="DT20" i="2" s="1"/>
  <c r="DU20" i="2" s="1"/>
  <c r="DV20" i="2" s="1"/>
  <c r="DW20" i="2" s="1"/>
  <c r="DX20" i="2" s="1"/>
  <c r="DY20" i="2" s="1"/>
  <c r="DZ20" i="2" s="1"/>
  <c r="EA20" i="2" s="1"/>
  <c r="EB20" i="2" s="1"/>
  <c r="EC20" i="2" s="1"/>
  <c r="ED20" i="2" s="1"/>
  <c r="EE20" i="2" s="1"/>
  <c r="EF20" i="2" s="1"/>
  <c r="EG20" i="2" s="1"/>
  <c r="EH20" i="2" s="1"/>
  <c r="EI20" i="2" s="1"/>
  <c r="EJ20" i="2" s="1"/>
  <c r="EK20" i="2" s="1"/>
  <c r="EL20" i="2" s="1"/>
  <c r="EM20" i="2" s="1"/>
  <c r="EN20" i="2" s="1"/>
  <c r="EO20" i="2" s="1"/>
  <c r="EP20" i="2" s="1"/>
  <c r="EQ2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tc={7E11744B-D5AB-4208-9165-DA43F82432E9}</author>
    <author>tc={6E6AA0E4-A083-46CE-8C20-0F4728641208}</author>
  </authors>
  <commentList>
    <comment ref="G8" authorId="0" shapeId="0" xr:uid="{7E11744B-D5AB-4208-9165-DA43F82432E9}">
      <text>
        <t>[Threaded comment]
Your version of Excel allows you to read this threaded comment; however, any edits to it will get removed if the file is opened in a newer version of Excel. Learn more: https://go.microsoft.com/fwlink/?linkid=870924
Comment:
    Blackwell 70% of rev</t>
      </text>
    </comment>
    <comment ref="H9" authorId="1" shapeId="0" xr:uid="{6E6AA0E4-A083-46CE-8C20-0F4728641208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
Reply:
    “loss of 8billion of H20 revenue due to export control limitations”</t>
      </text>
    </comment>
  </commentList>
</comments>
</file>

<file path=xl/sharedStrings.xml><?xml version="1.0" encoding="utf-8"?>
<sst xmlns="http://schemas.openxmlformats.org/spreadsheetml/2006/main" count="128" uniqueCount="113">
  <si>
    <t>Price</t>
  </si>
  <si>
    <t>Shares</t>
  </si>
  <si>
    <t>MC</t>
  </si>
  <si>
    <t>Cash</t>
  </si>
  <si>
    <t>Debt</t>
  </si>
  <si>
    <t>EV</t>
  </si>
  <si>
    <t>Revenue</t>
  </si>
  <si>
    <t>COGS</t>
  </si>
  <si>
    <t>Gross Profit</t>
  </si>
  <si>
    <t>R&amp;D</t>
  </si>
  <si>
    <t>SG&amp;A</t>
  </si>
  <si>
    <t>Operating Income</t>
  </si>
  <si>
    <t>Other</t>
  </si>
  <si>
    <t>Pretax Income</t>
  </si>
  <si>
    <t>Tax</t>
  </si>
  <si>
    <t>Net Income</t>
  </si>
  <si>
    <t>EPS</t>
  </si>
  <si>
    <t>Revenue Growth y/y</t>
  </si>
  <si>
    <t>Revenue Growth q/q</t>
  </si>
  <si>
    <t>Gross Margin</t>
  </si>
  <si>
    <t>Q125</t>
  </si>
  <si>
    <t>Net Cash</t>
  </si>
  <si>
    <t>AR</t>
  </si>
  <si>
    <t>AP</t>
  </si>
  <si>
    <t>NPV</t>
  </si>
  <si>
    <t>Maturity</t>
  </si>
  <si>
    <t>ROIC</t>
  </si>
  <si>
    <t>Discount</t>
  </si>
  <si>
    <t>Diff</t>
  </si>
  <si>
    <t>Model NI</t>
  </si>
  <si>
    <t>Reported NI</t>
  </si>
  <si>
    <t>Q425</t>
  </si>
  <si>
    <t>Q225</t>
  </si>
  <si>
    <t>Q325</t>
  </si>
  <si>
    <t>Operating Margin</t>
  </si>
  <si>
    <t>Main</t>
  </si>
  <si>
    <t>Hopper</t>
  </si>
  <si>
    <t>Blackwell 2025</t>
  </si>
  <si>
    <t>Rubin 2026</t>
  </si>
  <si>
    <t>Rubin Ultra 2027</t>
  </si>
  <si>
    <t>60% improvement on hopper</t>
  </si>
  <si>
    <t>Data Center Rev</t>
  </si>
  <si>
    <t>CFFO</t>
  </si>
  <si>
    <t>FCF</t>
  </si>
  <si>
    <t>Blackwell Ultra</t>
  </si>
  <si>
    <t>HUMAIN partnership</t>
  </si>
  <si>
    <t>Foxconn Taiwan AI factory supercomputer</t>
  </si>
  <si>
    <t>NVLink Fusion</t>
  </si>
  <si>
    <t>NVIDIA Spectrum-X * NVIDIA Quantum-X</t>
  </si>
  <si>
    <t>DGX SuperPOD</t>
  </si>
  <si>
    <t>Google joint-initiative</t>
  </si>
  <si>
    <t>NVIDIA inference software integration w/ Oracle</t>
  </si>
  <si>
    <t>NVIDIA Blackwell cloud now available on AWS, Google Cloud, Azure, Oracle Cloud</t>
  </si>
  <si>
    <t>DGX Cloud Lepton</t>
  </si>
  <si>
    <t>Llama Nemotron</t>
  </si>
  <si>
    <t>NVIDIA AI Data Platform</t>
  </si>
  <si>
    <t>Gaming Rev</t>
  </si>
  <si>
    <t>Professional Visualization</t>
  </si>
  <si>
    <t>Automotive &amp; Robotics</t>
  </si>
  <si>
    <t>Inventories</t>
  </si>
  <si>
    <t>OLL</t>
  </si>
  <si>
    <t>OLTL</t>
  </si>
  <si>
    <t>L+SE</t>
  </si>
  <si>
    <t>SE</t>
  </si>
  <si>
    <t>Assets</t>
  </si>
  <si>
    <t>Stargate UAE 500B project</t>
  </si>
  <si>
    <t>SBC</t>
  </si>
  <si>
    <t>D&amp;A</t>
  </si>
  <si>
    <t>DT</t>
  </si>
  <si>
    <t>Gains on Securities</t>
  </si>
  <si>
    <t>Prepaids</t>
  </si>
  <si>
    <t>Accrued Liabilties</t>
  </si>
  <si>
    <t>PP&amp;E</t>
  </si>
  <si>
    <t>Is the NVDA ecosystem driving the value? (CUDA, etc.)</t>
  </si>
  <si>
    <t>How copyable is their ecosystem?</t>
  </si>
  <si>
    <t>Will AI be executed in the near-term to justify big-tech CAPEX?</t>
  </si>
  <si>
    <t>Can the entire economy find AI producitvity uses or are they more long term?</t>
  </si>
  <si>
    <t>Read</t>
  </si>
  <si>
    <t>Relevance</t>
  </si>
  <si>
    <t>Topic</t>
  </si>
  <si>
    <t>Title</t>
  </si>
  <si>
    <t>Operating Expenses</t>
  </si>
  <si>
    <t>R&amp;D y/y</t>
  </si>
  <si>
    <t>SG&amp;A y/y</t>
  </si>
  <si>
    <t>Q126</t>
  </si>
  <si>
    <t>Q226</t>
  </si>
  <si>
    <t>Q326</t>
  </si>
  <si>
    <t>Q426</t>
  </si>
  <si>
    <t>Q127</t>
  </si>
  <si>
    <t>Q227</t>
  </si>
  <si>
    <t>Q327</t>
  </si>
  <si>
    <t>Q427</t>
  </si>
  <si>
    <t>Feynman 2028</t>
  </si>
  <si>
    <t>Are AI data centers even going to increase productivity in the short-term? What are the use cases?</t>
  </si>
  <si>
    <t>OLA</t>
  </si>
  <si>
    <t>GW</t>
  </si>
  <si>
    <t>Intangible Assets</t>
  </si>
  <si>
    <t>Other Assets</t>
  </si>
  <si>
    <t>Accured Liablities</t>
  </si>
  <si>
    <t>Liabilities</t>
  </si>
  <si>
    <t>Interest Income</t>
  </si>
  <si>
    <t xml:space="preserve">Other </t>
  </si>
  <si>
    <t>WC</t>
  </si>
  <si>
    <t>CapEx</t>
  </si>
  <si>
    <t>Investments</t>
  </si>
  <si>
    <t>CFFI</t>
  </si>
  <si>
    <t>CFFF</t>
  </si>
  <si>
    <t>FX</t>
  </si>
  <si>
    <t>CIC</t>
  </si>
  <si>
    <t>Acquistions</t>
  </si>
  <si>
    <t>Buybacks</t>
  </si>
  <si>
    <t>Dividends</t>
  </si>
  <si>
    <t>Compensation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</si>
</sst>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ptos Narrow"/>
      <family val="2"/>
      <scheme val="minor"/>
    </font>
    <font>
      <b/>
      <u/>
      <sz val="10"/>
      <color theme="1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3" fontId="11" fillId="0" borderId="0" xfId="1" applyNumberFormat="1" applyFont="1"/>
    <xf numFmtId="3" fontId="8" fillId="0" borderId="0" xfId="0" applyNumberFormat="1" applyFont="1"/>
    <xf numFmtId="1" fontId="8" fillId="0" borderId="0" xfId="0" applyNumberFormat="1" applyFont="1"/>
    <xf numFmtId="3" fontId="10" fillId="0" borderId="0" xfId="0" applyNumberFormat="1" applyFont="1"/>
    <xf numFmtId="4" fontId="8" fillId="0" borderId="0" xfId="0" applyNumberFormat="1" applyFont="1"/>
    <xf numFmtId="9" fontId="8" fillId="0" borderId="0" xfId="0" applyNumberFormat="1" applyFont="1"/>
    <xf numFmtId="9" fontId="10" fillId="0" borderId="0" xfId="0" applyNumberFormat="1" applyFont="1"/>
    <xf numFmtId="0" fontId="10" fillId="0" borderId="0" xfId="0" applyFont="1"/>
    <xf numFmtId="0" fontId="8" fillId="0" borderId="0" xfId="0" applyFont="1"/>
    <xf numFmtId="0" fontId="7" fillId="0" borderId="0" xfId="0" applyFont="1"/>
    <xf numFmtId="0" fontId="12" fillId="0" borderId="0" xfId="0" applyFont="1"/>
    <xf numFmtId="3" fontId="13" fillId="0" borderId="0" xfId="1" applyNumberFormat="1" applyFont="1"/>
    <xf numFmtId="0" fontId="6" fillId="0" borderId="0" xfId="0" applyFont="1"/>
    <xf numFmtId="0" fontId="13" fillId="0" borderId="0" xfId="1" applyFont="1"/>
    <xf numFmtId="1" fontId="6" fillId="0" borderId="0" xfId="0" applyNumberFormat="1" applyFont="1"/>
    <xf numFmtId="3" fontId="5" fillId="0" borderId="0" xfId="0" applyNumberFormat="1" applyFont="1"/>
    <xf numFmtId="3" fontId="4" fillId="0" borderId="0" xfId="0" applyNumberFormat="1" applyFont="1"/>
    <xf numFmtId="3" fontId="3" fillId="0" borderId="0" xfId="0" applyNumberFormat="1" applyFont="1"/>
    <xf numFmtId="14" fontId="8" fillId="0" borderId="0" xfId="0" applyNumberFormat="1" applyFont="1"/>
    <xf numFmtId="0" fontId="3" fillId="0" borderId="0" xfId="0" applyFont="1"/>
    <xf numFmtId="164" fontId="8" fillId="0" borderId="0" xfId="0" applyNumberFormat="1" applyFont="1"/>
    <xf numFmtId="0" fontId="2" fillId="0" borderId="0" xfId="0" applyFont="1"/>
    <xf numFmtId="3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1</xdr:row>
      <xdr:rowOff>9525</xdr:rowOff>
    </xdr:from>
    <xdr:to>
      <xdr:col>7</xdr:col>
      <xdr:colOff>28575</xdr:colOff>
      <xdr:row>94</xdr:row>
      <xdr:rowOff>161925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378CE67-E160-B97F-9ED5-8075185E0983}"/>
            </a:ext>
          </a:extLst>
        </xdr:cNvPr>
        <xdr:cNvCxnSpPr/>
      </xdr:nvCxnSpPr>
      <xdr:spPr>
        <a:xfrm>
          <a:off x="5049078" y="175177"/>
          <a:ext cx="40171" cy="1244379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</xdr:row>
      <xdr:rowOff>0</xdr:rowOff>
    </xdr:from>
    <xdr:to>
      <xdr:col>21</xdr:col>
      <xdr:colOff>38100</xdr:colOff>
      <xdr:row>94</xdr:row>
      <xdr:rowOff>85725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5C79990-BAC3-448E-9B59-F20A57DBC028}"/>
            </a:ext>
          </a:extLst>
        </xdr:cNvPr>
        <xdr:cNvCxnSpPr/>
      </xdr:nvCxnSpPr>
      <xdr:spPr>
        <a:xfrm>
          <a:off x="13724283" y="165652"/>
          <a:ext cx="38100" cy="1204581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390525</xdr:colOff>
      <xdr:row>32</xdr:row>
      <xdr:rowOff>9525</xdr:rowOff>
    </xdr:from>
    <xdr:to>
      <xdr:col>13</xdr:col>
      <xdr:colOff>580605</xdr:colOff>
      <xdr:row>57</xdr:row>
      <xdr:rowOff>56986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FE40E9-2D00-B681-A338-5FECA8C97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5191125"/>
          <a:ext cx="7505280" cy="409558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" id="{7BA57726-1A28-4F09-A828-A7B9F4B7C04C}" userId="be0b8782fa6c70c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8" dT="2025-05-29T00:24:41.76" personId="{7BA57726-1A28-4F09-A828-A7B9F4B7C04C}" id="{7E11744B-D5AB-4208-9165-DA43F82432E9}">
    <text>Blackwell 70% of rev</text>
  </threadedComment>
  <threadedComment ref="H9" dT="2025-08-13T22:16:33.97" personId="{7BA57726-1A28-4F09-A828-A7B9F4B7C04C}" id="{6E6AA0E4-A083-46CE-8C20-0F4728641208}">
    <text>guidance</text>
  </threadedComment>
  <threadedComment ref="H9" dT="2025-08-13T22:17:33.69" personId="{7BA57726-1A28-4F09-A828-A7B9F4B7C04C}" id="{9A7D1AC4-5A2E-47F8-8095-832DFF94DF4C}" parentId="{6E6AA0E4-A083-46CE-8C20-0F4728641208}">
    <text>“loss of 8billion of H20 revenue due to export control limitations”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5FA77-31DD-4330-BECC-4D64D4EAFB80}">
  <dimension ref="A1:L24"/>
  <sheetViews>
    <sheetView zoomScaleNormal="100" workbookViewId="0">
      <selection activeCell="K7" sqref="K7"/>
    </sheetView>
  </sheetViews>
  <sheetFormatPr defaultRowHeight="12.75" x14ac:dyDescent="0.2"/>
  <cols>
    <col min="1" max="3" width="9.140625" style="9"/>
    <col min="4" max="4" width="10.42578125" style="9" customWidth="1"/>
    <col min="5" max="5" width="9.85546875" style="9" customWidth="1"/>
    <col min="6" max="14" width="9.140625" style="9"/>
    <col min="15" max="15" width="10.42578125" style="9" customWidth="1"/>
    <col min="16" max="16384" width="9.140625" style="9"/>
  </cols>
  <sheetData>
    <row r="1" spans="1:12" x14ac:dyDescent="0.2">
      <c r="A1" s="8"/>
    </row>
    <row r="2" spans="1:12" x14ac:dyDescent="0.2">
      <c r="J2" s="9" t="s">
        <v>0</v>
      </c>
      <c r="K2" s="5">
        <v>183</v>
      </c>
    </row>
    <row r="3" spans="1:12" x14ac:dyDescent="0.2">
      <c r="J3" s="9" t="s">
        <v>1</v>
      </c>
      <c r="K3" s="2">
        <v>24400</v>
      </c>
      <c r="L3" s="20" t="s">
        <v>84</v>
      </c>
    </row>
    <row r="4" spans="1:12" x14ac:dyDescent="0.2">
      <c r="J4" s="9" t="s">
        <v>2</v>
      </c>
      <c r="K4" s="2">
        <f>K3*K2</f>
        <v>4465200</v>
      </c>
    </row>
    <row r="5" spans="1:12" x14ac:dyDescent="0.2">
      <c r="A5" s="9" t="s">
        <v>36</v>
      </c>
      <c r="B5" s="9">
        <v>2022</v>
      </c>
      <c r="J5" s="9" t="s">
        <v>3</v>
      </c>
      <c r="K5" s="2">
        <f>53691</f>
        <v>53691</v>
      </c>
      <c r="L5" s="20" t="s">
        <v>84</v>
      </c>
    </row>
    <row r="6" spans="1:12" x14ac:dyDescent="0.2">
      <c r="A6" s="9" t="s">
        <v>37</v>
      </c>
      <c r="C6" s="9" t="s">
        <v>40</v>
      </c>
      <c r="J6" s="9" t="s">
        <v>4</v>
      </c>
      <c r="K6" s="2">
        <f>8464</f>
        <v>8464</v>
      </c>
      <c r="L6" s="20" t="s">
        <v>84</v>
      </c>
    </row>
    <row r="7" spans="1:12" x14ac:dyDescent="0.2">
      <c r="A7" s="9" t="s">
        <v>44</v>
      </c>
      <c r="J7" s="9" t="s">
        <v>5</v>
      </c>
      <c r="K7" s="2">
        <f>K4+K6-K5</f>
        <v>4419973</v>
      </c>
    </row>
    <row r="8" spans="1:12" x14ac:dyDescent="0.2">
      <c r="A8" s="9" t="s">
        <v>38</v>
      </c>
    </row>
    <row r="9" spans="1:12" x14ac:dyDescent="0.2">
      <c r="A9" s="9" t="s">
        <v>39</v>
      </c>
      <c r="K9" s="11"/>
    </row>
    <row r="10" spans="1:12" x14ac:dyDescent="0.2">
      <c r="A10" s="20" t="s">
        <v>92</v>
      </c>
      <c r="H10" s="10" t="s">
        <v>73</v>
      </c>
    </row>
    <row r="11" spans="1:12" x14ac:dyDescent="0.2">
      <c r="H11" s="10" t="s">
        <v>74</v>
      </c>
    </row>
    <row r="12" spans="1:12" x14ac:dyDescent="0.2">
      <c r="H12" s="10" t="s">
        <v>75</v>
      </c>
    </row>
    <row r="13" spans="1:12" x14ac:dyDescent="0.2">
      <c r="A13" s="9" t="s">
        <v>65</v>
      </c>
      <c r="H13" s="10" t="s">
        <v>76</v>
      </c>
    </row>
    <row r="14" spans="1:12" x14ac:dyDescent="0.2">
      <c r="A14" s="9" t="s">
        <v>45</v>
      </c>
    </row>
    <row r="15" spans="1:12" x14ac:dyDescent="0.2">
      <c r="A15" s="9" t="s">
        <v>46</v>
      </c>
      <c r="H15" s="22" t="s">
        <v>93</v>
      </c>
    </row>
    <row r="16" spans="1:12" x14ac:dyDescent="0.2">
      <c r="A16" s="9" t="s">
        <v>47</v>
      </c>
    </row>
    <row r="17" spans="1:1" x14ac:dyDescent="0.2">
      <c r="A17" s="9" t="s">
        <v>48</v>
      </c>
    </row>
    <row r="18" spans="1:1" x14ac:dyDescent="0.2">
      <c r="A18" s="9" t="s">
        <v>49</v>
      </c>
    </row>
    <row r="19" spans="1:1" x14ac:dyDescent="0.2">
      <c r="A19" s="9" t="s">
        <v>50</v>
      </c>
    </row>
    <row r="20" spans="1:1" x14ac:dyDescent="0.2">
      <c r="A20" s="9" t="s">
        <v>51</v>
      </c>
    </row>
    <row r="21" spans="1:1" x14ac:dyDescent="0.2">
      <c r="A21" s="9" t="s">
        <v>52</v>
      </c>
    </row>
    <row r="22" spans="1:1" x14ac:dyDescent="0.2">
      <c r="A22" s="9" t="s">
        <v>53</v>
      </c>
    </row>
    <row r="23" spans="1:1" x14ac:dyDescent="0.2">
      <c r="A23" s="9" t="s">
        <v>54</v>
      </c>
    </row>
    <row r="24" spans="1:1" x14ac:dyDescent="0.2">
      <c r="A24" s="9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0BE28-398D-4CC8-A7C9-E94B6BC720A8}">
  <dimension ref="A1:EQ83"/>
  <sheetViews>
    <sheetView tabSelected="1" zoomScale="115" zoomScaleNormal="115" workbookViewId="0">
      <pane xSplit="2" ySplit="2" topLeftCell="V3" activePane="bottomRight" state="frozen"/>
      <selection pane="topRight" activeCell="B1" sqref="B1"/>
      <selection pane="bottomLeft" activeCell="A2" sqref="A2"/>
      <selection pane="bottomRight" activeCell="AB13" sqref="AB13"/>
    </sheetView>
  </sheetViews>
  <sheetFormatPr defaultRowHeight="12.75" x14ac:dyDescent="0.2"/>
  <cols>
    <col min="1" max="1" width="5" style="2" customWidth="1"/>
    <col min="2" max="2" width="22.7109375" style="2" bestFit="1" customWidth="1"/>
    <col min="3" max="5" width="9.140625" style="2"/>
    <col min="6" max="10" width="9.28515625" style="2" bestFit="1" customWidth="1"/>
    <col min="11" max="11" width="9.28515625" style="2" customWidth="1"/>
    <col min="12" max="15" width="9.140625" style="2"/>
    <col min="16" max="26" width="9.28515625" style="2" bestFit="1" customWidth="1"/>
    <col min="27" max="27" width="10.7109375" style="2" bestFit="1" customWidth="1"/>
    <col min="28" max="29" width="10.140625" style="2" bestFit="1" customWidth="1"/>
    <col min="30" max="123" width="9.28515625" style="2" bestFit="1" customWidth="1"/>
    <col min="124" max="147" width="10.140625" style="2" bestFit="1" customWidth="1"/>
    <col min="148" max="16384" width="9.140625" style="2"/>
  </cols>
  <sheetData>
    <row r="1" spans="1:31" x14ac:dyDescent="0.2">
      <c r="A1" s="12" t="s">
        <v>35</v>
      </c>
      <c r="H1" s="19">
        <v>45896</v>
      </c>
      <c r="S1" s="6"/>
      <c r="T1" s="6"/>
      <c r="U1" s="6"/>
    </row>
    <row r="2" spans="1:31" x14ac:dyDescent="0.2">
      <c r="C2" s="18" t="s">
        <v>20</v>
      </c>
      <c r="D2" s="18" t="s">
        <v>32</v>
      </c>
      <c r="E2" s="18" t="s">
        <v>33</v>
      </c>
      <c r="F2" s="18" t="s">
        <v>31</v>
      </c>
      <c r="G2" s="18" t="s">
        <v>84</v>
      </c>
      <c r="H2" s="18" t="s">
        <v>85</v>
      </c>
      <c r="I2" s="18" t="s">
        <v>86</v>
      </c>
      <c r="J2" s="18" t="s">
        <v>87</v>
      </c>
      <c r="K2" s="18" t="s">
        <v>88</v>
      </c>
      <c r="L2" s="18" t="s">
        <v>89</v>
      </c>
      <c r="M2" s="18" t="s">
        <v>90</v>
      </c>
      <c r="N2" s="18" t="s">
        <v>91</v>
      </c>
      <c r="O2" s="18"/>
      <c r="P2" s="15">
        <v>2019</v>
      </c>
      <c r="Q2" s="3">
        <v>2020</v>
      </c>
      <c r="R2" s="3">
        <f>Q2+1</f>
        <v>2021</v>
      </c>
      <c r="S2" s="3">
        <f t="shared" ref="S2:Z2" si="0">R2+1</f>
        <v>2022</v>
      </c>
      <c r="T2" s="3">
        <f t="shared" si="0"/>
        <v>2023</v>
      </c>
      <c r="U2" s="3">
        <f t="shared" si="0"/>
        <v>2024</v>
      </c>
      <c r="V2" s="3">
        <f t="shared" si="0"/>
        <v>2025</v>
      </c>
      <c r="W2" s="3">
        <f t="shared" si="0"/>
        <v>2026</v>
      </c>
      <c r="X2" s="3">
        <f t="shared" si="0"/>
        <v>2027</v>
      </c>
      <c r="Y2" s="3">
        <f t="shared" si="0"/>
        <v>2028</v>
      </c>
      <c r="Z2" s="3">
        <f t="shared" si="0"/>
        <v>2029</v>
      </c>
      <c r="AA2" s="3"/>
      <c r="AB2" s="3"/>
      <c r="AC2" s="3"/>
      <c r="AD2" s="3"/>
      <c r="AE2" s="3"/>
    </row>
    <row r="3" spans="1:31" x14ac:dyDescent="0.2"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5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1" x14ac:dyDescent="0.2"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5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 ht="13.5" x14ac:dyDescent="0.25">
      <c r="A5" s="1"/>
      <c r="B5" s="2" t="s">
        <v>58</v>
      </c>
      <c r="G5" s="2">
        <v>567</v>
      </c>
      <c r="P5" s="3"/>
      <c r="Q5" s="2">
        <v>535</v>
      </c>
      <c r="R5" s="2">
        <v>565</v>
      </c>
      <c r="S5" s="2">
        <v>903</v>
      </c>
      <c r="T5" s="2">
        <v>1091</v>
      </c>
      <c r="U5" s="2">
        <v>1700</v>
      </c>
      <c r="V5" s="2">
        <f>U5*1.45</f>
        <v>2465</v>
      </c>
      <c r="W5" s="2">
        <f t="shared" ref="W5:Z5" si="1">V5*1.45</f>
        <v>3574.25</v>
      </c>
      <c r="X5" s="2">
        <f t="shared" si="1"/>
        <v>5182.6624999999995</v>
      </c>
      <c r="Y5" s="2">
        <f t="shared" si="1"/>
        <v>7514.8606249999993</v>
      </c>
      <c r="Z5" s="2">
        <f t="shared" si="1"/>
        <v>10896.547906249998</v>
      </c>
    </row>
    <row r="6" spans="1:31" ht="13.5" x14ac:dyDescent="0.25">
      <c r="A6" s="1"/>
      <c r="B6" s="2" t="s">
        <v>57</v>
      </c>
      <c r="G6" s="2">
        <v>509</v>
      </c>
      <c r="P6" s="3"/>
      <c r="Q6" s="2">
        <v>1053</v>
      </c>
      <c r="R6" s="2">
        <v>2111</v>
      </c>
      <c r="S6" s="2">
        <v>1544</v>
      </c>
      <c r="T6" s="2">
        <v>1553</v>
      </c>
      <c r="U6" s="2">
        <v>1900</v>
      </c>
      <c r="V6" s="2">
        <f>U6*1.1</f>
        <v>2090</v>
      </c>
      <c r="W6" s="2">
        <f t="shared" ref="W6:Z6" si="2">V6*1.1</f>
        <v>2299</v>
      </c>
      <c r="X6" s="2">
        <f t="shared" si="2"/>
        <v>2528.9</v>
      </c>
      <c r="Y6" s="2">
        <f t="shared" si="2"/>
        <v>2781.7900000000004</v>
      </c>
      <c r="Z6" s="2">
        <f t="shared" si="2"/>
        <v>3059.9690000000005</v>
      </c>
    </row>
    <row r="7" spans="1:31" ht="13.5" x14ac:dyDescent="0.25">
      <c r="A7" s="1"/>
      <c r="B7" s="2" t="s">
        <v>56</v>
      </c>
      <c r="G7" s="2">
        <v>3800</v>
      </c>
      <c r="P7" s="3"/>
      <c r="Q7" s="2">
        <v>7759</v>
      </c>
      <c r="R7" s="2">
        <v>12462</v>
      </c>
      <c r="S7" s="2">
        <v>9067</v>
      </c>
      <c r="T7" s="2">
        <v>10447</v>
      </c>
      <c r="U7" s="2">
        <v>11400</v>
      </c>
      <c r="V7" s="2">
        <f>U7*1.16</f>
        <v>13223.999999999998</v>
      </c>
      <c r="W7" s="2">
        <f t="shared" ref="W7:Z7" si="3">V7*1.16</f>
        <v>15339.839999999997</v>
      </c>
      <c r="X7" s="2">
        <f t="shared" si="3"/>
        <v>17794.214399999993</v>
      </c>
      <c r="Y7" s="2">
        <f t="shared" si="3"/>
        <v>20641.288703999991</v>
      </c>
      <c r="Z7" s="2">
        <f t="shared" si="3"/>
        <v>23943.894896639988</v>
      </c>
    </row>
    <row r="8" spans="1:31" ht="13.5" x14ac:dyDescent="0.25">
      <c r="A8" s="1"/>
      <c r="B8" s="2" t="s">
        <v>41</v>
      </c>
      <c r="G8" s="2">
        <f>39100</f>
        <v>39100</v>
      </c>
      <c r="P8" s="3"/>
      <c r="Q8" s="2">
        <f>Q9-SUM(Q5:Q7)</f>
        <v>1573</v>
      </c>
      <c r="R8" s="2">
        <f>R9-SUM(R5:R7)</f>
        <v>1542</v>
      </c>
      <c r="S8" s="2">
        <f>S9-SUM(S5:S7)</f>
        <v>15460</v>
      </c>
      <c r="T8" s="2">
        <f>T9-SUM(T5:T7)</f>
        <v>47831</v>
      </c>
      <c r="U8" s="2">
        <v>115200</v>
      </c>
      <c r="V8" s="2">
        <f>U8*1.48</f>
        <v>170496</v>
      </c>
      <c r="W8" s="2">
        <f t="shared" ref="W8:Z8" si="4">V8*1.48</f>
        <v>252334.07999999999</v>
      </c>
      <c r="X8" s="2">
        <f t="shared" si="4"/>
        <v>373454.43839999998</v>
      </c>
      <c r="Y8" s="2">
        <f t="shared" si="4"/>
        <v>552712.56883200002</v>
      </c>
      <c r="Z8" s="2">
        <f t="shared" si="4"/>
        <v>818014.60187135998</v>
      </c>
      <c r="AA8" s="5"/>
    </row>
    <row r="9" spans="1:31" s="4" customFormat="1" x14ac:dyDescent="0.2">
      <c r="B9" s="4" t="s">
        <v>6</v>
      </c>
      <c r="C9" s="4">
        <v>26044</v>
      </c>
      <c r="F9" s="4">
        <v>39300</v>
      </c>
      <c r="G9" s="4">
        <f>SUM(G5:G8)</f>
        <v>43976</v>
      </c>
      <c r="H9" s="4">
        <v>45000</v>
      </c>
      <c r="I9" s="4">
        <f>H9*1.13</f>
        <v>50849.999999999993</v>
      </c>
      <c r="J9" s="4">
        <f>I9*1.13</f>
        <v>57460.499999999985</v>
      </c>
      <c r="K9" s="4">
        <f>J9*1.1</f>
        <v>63206.549999999988</v>
      </c>
      <c r="L9" s="4">
        <f t="shared" ref="L9:N9" si="5">K9*1.1</f>
        <v>69527.204999999987</v>
      </c>
      <c r="M9" s="4">
        <f t="shared" si="5"/>
        <v>76479.925499999998</v>
      </c>
      <c r="N9" s="4">
        <f t="shared" si="5"/>
        <v>84127.918050000007</v>
      </c>
      <c r="P9" s="4">
        <v>11720</v>
      </c>
      <c r="Q9" s="4">
        <v>10920</v>
      </c>
      <c r="R9" s="4">
        <v>16680</v>
      </c>
      <c r="S9" s="4">
        <v>26974</v>
      </c>
      <c r="T9" s="4">
        <v>60922</v>
      </c>
      <c r="U9" s="4">
        <v>130497</v>
      </c>
      <c r="V9" s="4">
        <f>SUM(G9:J9)</f>
        <v>197286.5</v>
      </c>
      <c r="W9" s="4">
        <f>V9*1.44</f>
        <v>284092.56</v>
      </c>
      <c r="X9" s="4">
        <f t="shared" ref="X9:Z9" si="6">W9*1.44</f>
        <v>409093.28639999998</v>
      </c>
      <c r="Y9" s="4">
        <f t="shared" si="6"/>
        <v>589094.33241599996</v>
      </c>
      <c r="Z9" s="4">
        <f t="shared" si="6"/>
        <v>848295.83867903997</v>
      </c>
      <c r="AA9" s="18"/>
    </row>
    <row r="10" spans="1:31" x14ac:dyDescent="0.2">
      <c r="B10" s="2" t="s">
        <v>7</v>
      </c>
      <c r="C10" s="2">
        <v>5638</v>
      </c>
      <c r="G10" s="2">
        <v>17394</v>
      </c>
      <c r="H10" s="2">
        <f>H9*(1-H29)</f>
        <v>12600.000000000002</v>
      </c>
      <c r="I10" s="2">
        <f>I9*(1-I29)</f>
        <v>13505.76</v>
      </c>
      <c r="J10" s="2">
        <f>J9*(1-J29)</f>
        <v>14417.528975999998</v>
      </c>
      <c r="S10" s="2">
        <v>11618</v>
      </c>
      <c r="T10" s="2">
        <v>16621</v>
      </c>
      <c r="U10" s="2">
        <v>32639</v>
      </c>
      <c r="V10" s="2">
        <f>SUM(G10:J10)</f>
        <v>57917.288975999996</v>
      </c>
      <c r="W10" s="2">
        <f>W9*(1-W29)</f>
        <v>73864.065600000002</v>
      </c>
      <c r="X10" s="2">
        <f>X9*(1-X29)</f>
        <v>106364.254464</v>
      </c>
      <c r="Y10" s="2">
        <f>Y9*(1-Y29)</f>
        <v>153164.52642816</v>
      </c>
      <c r="Z10" s="2">
        <f>Z9*(1-Z29)</f>
        <v>220556.91805655041</v>
      </c>
    </row>
    <row r="11" spans="1:31" x14ac:dyDescent="0.2">
      <c r="B11" s="2" t="s">
        <v>8</v>
      </c>
      <c r="C11" s="2">
        <f>C9-C10</f>
        <v>20406</v>
      </c>
      <c r="D11" s="2">
        <f t="shared" ref="D11:J11" si="7">D9-D10</f>
        <v>0</v>
      </c>
      <c r="E11" s="2">
        <f t="shared" si="7"/>
        <v>0</v>
      </c>
      <c r="F11" s="2">
        <f t="shared" si="7"/>
        <v>39300</v>
      </c>
      <c r="G11" s="2">
        <f t="shared" si="7"/>
        <v>26582</v>
      </c>
      <c r="H11" s="2">
        <f t="shared" si="7"/>
        <v>32400</v>
      </c>
      <c r="I11" s="2">
        <f t="shared" si="7"/>
        <v>37344.239999999991</v>
      </c>
      <c r="J11" s="2">
        <f t="shared" si="7"/>
        <v>43042.971023999984</v>
      </c>
      <c r="P11" s="2">
        <f t="shared" ref="P11:Z11" si="8">P9-P10</f>
        <v>11720</v>
      </c>
      <c r="Q11" s="2">
        <f t="shared" si="8"/>
        <v>10920</v>
      </c>
      <c r="R11" s="2">
        <f t="shared" si="8"/>
        <v>16680</v>
      </c>
      <c r="S11" s="2">
        <f t="shared" si="8"/>
        <v>15356</v>
      </c>
      <c r="T11" s="2">
        <f t="shared" si="8"/>
        <v>44301</v>
      </c>
      <c r="U11" s="2">
        <f t="shared" si="8"/>
        <v>97858</v>
      </c>
      <c r="V11" s="2">
        <f t="shared" si="8"/>
        <v>139369.21102400002</v>
      </c>
      <c r="W11" s="2">
        <f t="shared" si="8"/>
        <v>210228.4944</v>
      </c>
      <c r="X11" s="2">
        <f t="shared" si="8"/>
        <v>302729.03193599998</v>
      </c>
      <c r="Y11" s="2">
        <f t="shared" si="8"/>
        <v>435929.80598783994</v>
      </c>
      <c r="Z11" s="2">
        <f t="shared" si="8"/>
        <v>627738.92062248953</v>
      </c>
    </row>
    <row r="12" spans="1:31" x14ac:dyDescent="0.2">
      <c r="B12" s="2" t="s">
        <v>9</v>
      </c>
      <c r="C12" s="2">
        <v>2720</v>
      </c>
      <c r="G12" s="2">
        <v>3989</v>
      </c>
      <c r="H12" s="2">
        <f>G12*1.02</f>
        <v>4068.78</v>
      </c>
      <c r="I12" s="2">
        <f t="shared" ref="I12:J12" si="9">H12*1.02</f>
        <v>4150.1556</v>
      </c>
      <c r="J12" s="2">
        <f t="shared" si="9"/>
        <v>4233.1587120000004</v>
      </c>
      <c r="R12" s="6"/>
      <c r="S12" s="2">
        <v>7339</v>
      </c>
      <c r="T12" s="2">
        <v>8675</v>
      </c>
      <c r="U12" s="2">
        <v>12914</v>
      </c>
      <c r="V12" s="2">
        <f>SUM(G12:J12)</f>
        <v>16441.094312000001</v>
      </c>
      <c r="W12" s="2">
        <f>V12*1.23</f>
        <v>20222.546003760002</v>
      </c>
      <c r="X12" s="2">
        <f t="shared" ref="X12:Z12" si="10">W12*1.23</f>
        <v>24873.731584624802</v>
      </c>
      <c r="Y12" s="2">
        <f t="shared" si="10"/>
        <v>30594.689849088507</v>
      </c>
      <c r="Z12" s="2">
        <f t="shared" si="10"/>
        <v>37631.468514378867</v>
      </c>
    </row>
    <row r="13" spans="1:31" x14ac:dyDescent="0.2">
      <c r="B13" s="2" t="s">
        <v>10</v>
      </c>
      <c r="C13" s="2">
        <v>777</v>
      </c>
      <c r="G13" s="2">
        <v>1041</v>
      </c>
      <c r="H13" s="2">
        <f>G13*1.02</f>
        <v>1061.82</v>
      </c>
      <c r="I13" s="2">
        <f t="shared" ref="I13:J13" si="11">H13*1.02</f>
        <v>1083.0563999999999</v>
      </c>
      <c r="J13" s="2">
        <f t="shared" si="11"/>
        <v>1104.7175279999999</v>
      </c>
      <c r="S13" s="2">
        <v>2440</v>
      </c>
      <c r="T13" s="2">
        <v>2654</v>
      </c>
      <c r="U13" s="2">
        <v>3491</v>
      </c>
      <c r="V13" s="2">
        <f>SUM(G13:J13)</f>
        <v>4290.5939279999993</v>
      </c>
      <c r="W13" s="2">
        <f>V13*1.2</f>
        <v>5148.712713599999</v>
      </c>
      <c r="X13" s="2">
        <f t="shared" ref="X13:Z13" si="12">W13*1.2</f>
        <v>6178.4552563199986</v>
      </c>
      <c r="Y13" s="2">
        <f t="shared" si="12"/>
        <v>7414.1463075839984</v>
      </c>
      <c r="Z13" s="2">
        <f t="shared" si="12"/>
        <v>8896.9755691007977</v>
      </c>
    </row>
    <row r="14" spans="1:31" x14ac:dyDescent="0.2">
      <c r="B14" s="16" t="s">
        <v>81</v>
      </c>
      <c r="C14" s="2">
        <f>SUM(C12:C13)</f>
        <v>3497</v>
      </c>
      <c r="D14" s="2">
        <f t="shared" ref="D14:J14" si="13">SUM(D12:D13)</f>
        <v>0</v>
      </c>
      <c r="E14" s="2">
        <f t="shared" si="13"/>
        <v>0</v>
      </c>
      <c r="F14" s="2">
        <f t="shared" si="13"/>
        <v>0</v>
      </c>
      <c r="G14" s="2">
        <f t="shared" si="13"/>
        <v>5030</v>
      </c>
      <c r="H14" s="2">
        <f t="shared" si="13"/>
        <v>5130.6000000000004</v>
      </c>
      <c r="I14" s="2">
        <f t="shared" si="13"/>
        <v>5233.2119999999995</v>
      </c>
      <c r="J14" s="2">
        <f t="shared" si="13"/>
        <v>5337.8762400000005</v>
      </c>
      <c r="P14" s="2">
        <f>SUM(P12:P13)</f>
        <v>0</v>
      </c>
      <c r="Q14" s="2">
        <f>SUM(Q12:Q13)</f>
        <v>0</v>
      </c>
      <c r="R14" s="2">
        <f t="shared" ref="R14:Z14" si="14">SUM(R12:R13)</f>
        <v>0</v>
      </c>
      <c r="S14" s="2">
        <f t="shared" si="14"/>
        <v>9779</v>
      </c>
      <c r="T14" s="2">
        <f t="shared" si="14"/>
        <v>11329</v>
      </c>
      <c r="U14" s="2">
        <f t="shared" si="14"/>
        <v>16405</v>
      </c>
      <c r="V14" s="2">
        <f t="shared" si="14"/>
        <v>20731.688239999999</v>
      </c>
      <c r="W14" s="2">
        <f t="shared" si="14"/>
        <v>25371.25871736</v>
      </c>
      <c r="X14" s="2">
        <f t="shared" si="14"/>
        <v>31052.1868409448</v>
      </c>
      <c r="Y14" s="2">
        <f t="shared" si="14"/>
        <v>38008.836156672507</v>
      </c>
      <c r="Z14" s="2">
        <f t="shared" si="14"/>
        <v>46528.444083479662</v>
      </c>
    </row>
    <row r="15" spans="1:31" x14ac:dyDescent="0.2">
      <c r="B15" s="2" t="s">
        <v>11</v>
      </c>
      <c r="C15" s="2">
        <f>C11-C14</f>
        <v>16909</v>
      </c>
      <c r="D15" s="2">
        <f t="shared" ref="D15:J15" si="15">D11-D14</f>
        <v>0</v>
      </c>
      <c r="E15" s="2">
        <f t="shared" si="15"/>
        <v>0</v>
      </c>
      <c r="F15" s="2">
        <f t="shared" si="15"/>
        <v>39300</v>
      </c>
      <c r="G15" s="2">
        <f t="shared" si="15"/>
        <v>21552</v>
      </c>
      <c r="H15" s="2">
        <f t="shared" si="15"/>
        <v>27269.4</v>
      </c>
      <c r="I15" s="2">
        <f t="shared" si="15"/>
        <v>32111.027999999991</v>
      </c>
      <c r="J15" s="2">
        <f t="shared" si="15"/>
        <v>37705.094783999986</v>
      </c>
      <c r="P15" s="2">
        <f>P11-P14</f>
        <v>11720</v>
      </c>
      <c r="Q15" s="2">
        <f>Q11-Q14</f>
        <v>10920</v>
      </c>
      <c r="R15" s="2">
        <f t="shared" ref="R15:U15" si="16">R11-R14</f>
        <v>16680</v>
      </c>
      <c r="S15" s="2">
        <f t="shared" si="16"/>
        <v>5577</v>
      </c>
      <c r="T15" s="2">
        <f t="shared" si="16"/>
        <v>32972</v>
      </c>
      <c r="U15" s="2">
        <f t="shared" si="16"/>
        <v>81453</v>
      </c>
      <c r="V15" s="2">
        <f>V11-V14</f>
        <v>118637.52278400002</v>
      </c>
      <c r="W15" s="2">
        <f t="shared" ref="W15:Z15" si="17">W11-W14</f>
        <v>184857.23568263999</v>
      </c>
      <c r="X15" s="2">
        <f t="shared" si="17"/>
        <v>271676.84509505518</v>
      </c>
      <c r="Y15" s="2">
        <f t="shared" si="17"/>
        <v>397920.96983116743</v>
      </c>
      <c r="Z15" s="2">
        <f t="shared" si="17"/>
        <v>581210.47653900983</v>
      </c>
    </row>
    <row r="16" spans="1:31" x14ac:dyDescent="0.2">
      <c r="B16" s="23" t="s">
        <v>100</v>
      </c>
      <c r="C16" s="2">
        <f>359-64</f>
        <v>295</v>
      </c>
      <c r="G16" s="2">
        <f>515-63</f>
        <v>452</v>
      </c>
      <c r="H16" s="2">
        <f>G32*$AC$22/4</f>
        <v>226.13499999999999</v>
      </c>
      <c r="I16" s="2">
        <f>H32*$AC$22/4</f>
        <v>340.24147024999996</v>
      </c>
      <c r="J16" s="2">
        <f>I32*$AC$22/4</f>
        <v>474.91423855153744</v>
      </c>
      <c r="P16" s="2">
        <f>L32*$AC$22</f>
        <v>0</v>
      </c>
      <c r="Q16" s="2">
        <f>P32*$AC$22</f>
        <v>0</v>
      </c>
      <c r="R16" s="2">
        <f>Q32*$AC$22</f>
        <v>0</v>
      </c>
      <c r="S16" s="2">
        <f>267-262</f>
        <v>5</v>
      </c>
      <c r="T16" s="2">
        <f>866-257</f>
        <v>609</v>
      </c>
      <c r="U16" s="2">
        <f>1786-247</f>
        <v>1539</v>
      </c>
      <c r="V16" s="2">
        <f>SUM(G16:J16)</f>
        <v>1493.2907088015374</v>
      </c>
      <c r="W16" s="2">
        <f>V32*$AC$22</f>
        <v>2533.4451039805049</v>
      </c>
      <c r="X16" s="2">
        <f>W32*$AC$22</f>
        <v>2584.1140060601147</v>
      </c>
      <c r="Y16" s="2">
        <f>X32*$AC$22</f>
        <v>2635.7962861813171</v>
      </c>
      <c r="Z16" s="2">
        <f>Y32*$AC$22</f>
        <v>2688.5122119049433</v>
      </c>
    </row>
    <row r="17" spans="1:147" x14ac:dyDescent="0.2">
      <c r="B17" s="23" t="s">
        <v>101</v>
      </c>
      <c r="C17" s="2">
        <v>75</v>
      </c>
      <c r="G17" s="2">
        <v>-180</v>
      </c>
      <c r="S17" s="2">
        <v>-48</v>
      </c>
      <c r="T17" s="2">
        <v>237</v>
      </c>
      <c r="U17" s="2">
        <v>1034</v>
      </c>
      <c r="V17" s="2">
        <f>SUM(G17:J17)</f>
        <v>-180</v>
      </c>
      <c r="W17" s="2">
        <v>0</v>
      </c>
      <c r="X17" s="2">
        <f t="shared" ref="X17:Z17" si="18">W17*1.02</f>
        <v>0</v>
      </c>
      <c r="Y17" s="2">
        <f t="shared" si="18"/>
        <v>0</v>
      </c>
      <c r="Z17" s="2">
        <f t="shared" si="18"/>
        <v>0</v>
      </c>
    </row>
    <row r="18" spans="1:147" x14ac:dyDescent="0.2">
      <c r="B18" s="2" t="s">
        <v>13</v>
      </c>
      <c r="C18" s="2">
        <f>C15+SUM(C16:C17)</f>
        <v>17279</v>
      </c>
      <c r="D18" s="2">
        <f t="shared" ref="D18:J18" si="19">D15+SUM(D16:D17)</f>
        <v>0</v>
      </c>
      <c r="E18" s="2">
        <f t="shared" si="19"/>
        <v>0</v>
      </c>
      <c r="F18" s="2">
        <f t="shared" si="19"/>
        <v>39300</v>
      </c>
      <c r="G18" s="2">
        <f t="shared" si="19"/>
        <v>21824</v>
      </c>
      <c r="H18" s="2">
        <f t="shared" si="19"/>
        <v>27495.535</v>
      </c>
      <c r="I18" s="2">
        <f t="shared" si="19"/>
        <v>32451.26947024999</v>
      </c>
      <c r="J18" s="2">
        <f t="shared" si="19"/>
        <v>38180.009022551523</v>
      </c>
      <c r="P18" s="2">
        <f>P15+SUM(P16:P17)</f>
        <v>11720</v>
      </c>
      <c r="Q18" s="2">
        <f>Q15+SUM(Q16:Q17)</f>
        <v>10920</v>
      </c>
      <c r="R18" s="2">
        <f t="shared" ref="R18:U18" si="20">R15+SUM(R16:R17)</f>
        <v>16680</v>
      </c>
      <c r="S18" s="2">
        <f t="shared" si="20"/>
        <v>5534</v>
      </c>
      <c r="T18" s="2">
        <f t="shared" si="20"/>
        <v>33818</v>
      </c>
      <c r="U18" s="2">
        <f t="shared" si="20"/>
        <v>84026</v>
      </c>
      <c r="V18" s="2">
        <f>V15+SUM(V16:V17)</f>
        <v>119950.81349280155</v>
      </c>
      <c r="W18" s="2">
        <f t="shared" ref="W18:Z18" si="21">W15+SUM(W16:W17)</f>
        <v>187390.68078662051</v>
      </c>
      <c r="X18" s="2">
        <f t="shared" si="21"/>
        <v>274260.9591011153</v>
      </c>
      <c r="Y18" s="2">
        <f t="shared" si="21"/>
        <v>400556.76611734874</v>
      </c>
      <c r="Z18" s="2">
        <f t="shared" si="21"/>
        <v>583898.98875091481</v>
      </c>
    </row>
    <row r="19" spans="1:147" x14ac:dyDescent="0.2">
      <c r="B19" s="2" t="s">
        <v>14</v>
      </c>
      <c r="C19" s="2">
        <v>2398</v>
      </c>
      <c r="G19" s="2">
        <v>3135</v>
      </c>
      <c r="H19" s="2">
        <f>H18*0.17</f>
        <v>4674.2409500000003</v>
      </c>
      <c r="I19" s="2">
        <f t="shared" ref="I19:J19" si="22">I18*0.17</f>
        <v>5516.7158099424987</v>
      </c>
      <c r="J19" s="2">
        <f t="shared" si="22"/>
        <v>6490.6015338337593</v>
      </c>
      <c r="S19" s="2">
        <v>-187</v>
      </c>
      <c r="T19" s="2">
        <v>4058</v>
      </c>
      <c r="U19" s="2">
        <v>11146</v>
      </c>
      <c r="V19" s="2">
        <f>SUM(G19:J19)</f>
        <v>19816.558293776259</v>
      </c>
      <c r="W19" s="2">
        <f>W18*0.19</f>
        <v>35604.229349457899</v>
      </c>
      <c r="X19" s="2">
        <f t="shared" ref="X19:Z19" si="23">X18*0.19</f>
        <v>52109.582229211905</v>
      </c>
      <c r="Y19" s="2">
        <f t="shared" si="23"/>
        <v>76105.785562296267</v>
      </c>
      <c r="Z19" s="2">
        <f t="shared" si="23"/>
        <v>110940.80786267381</v>
      </c>
    </row>
    <row r="20" spans="1:147" s="4" customFormat="1" x14ac:dyDescent="0.2">
      <c r="B20" s="4" t="s">
        <v>15</v>
      </c>
      <c r="C20" s="4">
        <f>C18-C19</f>
        <v>14881</v>
      </c>
      <c r="D20" s="4">
        <f t="shared" ref="D20:J20" si="24">D18-D19</f>
        <v>0</v>
      </c>
      <c r="E20" s="4">
        <f t="shared" si="24"/>
        <v>0</v>
      </c>
      <c r="F20" s="4">
        <f t="shared" si="24"/>
        <v>39300</v>
      </c>
      <c r="G20" s="4">
        <f t="shared" si="24"/>
        <v>18689</v>
      </c>
      <c r="H20" s="4">
        <f t="shared" si="24"/>
        <v>22821.29405</v>
      </c>
      <c r="I20" s="4">
        <f t="shared" si="24"/>
        <v>26934.553660307491</v>
      </c>
      <c r="J20" s="4">
        <f t="shared" si="24"/>
        <v>31689.407488717763</v>
      </c>
      <c r="P20" s="4">
        <f>P18-P19</f>
        <v>11720</v>
      </c>
      <c r="Q20" s="4">
        <f>Q18-Q19</f>
        <v>10920</v>
      </c>
      <c r="R20" s="4">
        <f t="shared" ref="R20:U20" si="25">R18-R19</f>
        <v>16680</v>
      </c>
      <c r="S20" s="4">
        <f t="shared" si="25"/>
        <v>5721</v>
      </c>
      <c r="T20" s="4">
        <f t="shared" si="25"/>
        <v>29760</v>
      </c>
      <c r="U20" s="4">
        <f t="shared" si="25"/>
        <v>72880</v>
      </c>
      <c r="V20" s="4">
        <f>V18-V19</f>
        <v>100134.2551990253</v>
      </c>
      <c r="W20" s="4">
        <f t="shared" ref="W20:Z20" si="26">W18-W19</f>
        <v>151786.45143716261</v>
      </c>
      <c r="X20" s="4">
        <f t="shared" si="26"/>
        <v>222151.3768719034</v>
      </c>
      <c r="Y20" s="4">
        <f t="shared" si="26"/>
        <v>324450.98055505246</v>
      </c>
      <c r="Z20" s="4">
        <f t="shared" si="26"/>
        <v>472958.18088824098</v>
      </c>
      <c r="AA20" s="4">
        <f t="shared" ref="AA20:BF20" si="27">Z20*(1+$AC$23)</f>
        <v>477687.7626971234</v>
      </c>
      <c r="AB20" s="4">
        <f t="shared" si="27"/>
        <v>482464.64032409462</v>
      </c>
      <c r="AC20" s="4">
        <f t="shared" si="27"/>
        <v>487289.2867273356</v>
      </c>
      <c r="AD20" s="4">
        <f t="shared" si="27"/>
        <v>492162.17959460896</v>
      </c>
      <c r="AE20" s="4">
        <f t="shared" si="27"/>
        <v>497083.80139055505</v>
      </c>
      <c r="AF20" s="4">
        <f t="shared" si="27"/>
        <v>502054.63940446061</v>
      </c>
      <c r="AG20" s="4">
        <f t="shared" si="27"/>
        <v>507075.1857985052</v>
      </c>
      <c r="AH20" s="4">
        <f t="shared" si="27"/>
        <v>512145.93765649025</v>
      </c>
      <c r="AI20" s="4">
        <f t="shared" si="27"/>
        <v>517267.39703305514</v>
      </c>
      <c r="AJ20" s="4">
        <f t="shared" si="27"/>
        <v>522440.0710033857</v>
      </c>
      <c r="AK20" s="4">
        <f t="shared" si="27"/>
        <v>527664.47171341954</v>
      </c>
      <c r="AL20" s="4">
        <f t="shared" si="27"/>
        <v>532941.11643055372</v>
      </c>
      <c r="AM20" s="4">
        <f t="shared" si="27"/>
        <v>538270.52759485925</v>
      </c>
      <c r="AN20" s="4">
        <f t="shared" si="27"/>
        <v>543653.23287080787</v>
      </c>
      <c r="AO20" s="4">
        <f t="shared" si="27"/>
        <v>549089.76519951597</v>
      </c>
      <c r="AP20" s="4">
        <f t="shared" si="27"/>
        <v>554580.66285151115</v>
      </c>
      <c r="AQ20" s="4">
        <f t="shared" si="27"/>
        <v>560126.46948002628</v>
      </c>
      <c r="AR20" s="4">
        <f t="shared" si="27"/>
        <v>565727.73417482653</v>
      </c>
      <c r="AS20" s="4">
        <f t="shared" si="27"/>
        <v>571385.01151657477</v>
      </c>
      <c r="AT20" s="4">
        <f t="shared" si="27"/>
        <v>577098.86163174047</v>
      </c>
      <c r="AU20" s="4">
        <f t="shared" si="27"/>
        <v>582869.85024805786</v>
      </c>
      <c r="AV20" s="4">
        <f t="shared" si="27"/>
        <v>588698.5487505385</v>
      </c>
      <c r="AW20" s="4">
        <f t="shared" si="27"/>
        <v>594585.53423804394</v>
      </c>
      <c r="AX20" s="4">
        <f t="shared" si="27"/>
        <v>600531.38958042441</v>
      </c>
      <c r="AY20" s="4">
        <f t="shared" si="27"/>
        <v>606536.70347622863</v>
      </c>
      <c r="AZ20" s="4">
        <f t="shared" si="27"/>
        <v>612602.07051099092</v>
      </c>
      <c r="BA20" s="4">
        <f t="shared" si="27"/>
        <v>618728.09121610085</v>
      </c>
      <c r="BB20" s="4">
        <f t="shared" si="27"/>
        <v>624915.37212826184</v>
      </c>
      <c r="BC20" s="4">
        <f t="shared" si="27"/>
        <v>631164.52584954444</v>
      </c>
      <c r="BD20" s="4">
        <f t="shared" si="27"/>
        <v>637476.17110803991</v>
      </c>
      <c r="BE20" s="4">
        <f t="shared" si="27"/>
        <v>643850.93281912035</v>
      </c>
      <c r="BF20" s="4">
        <f t="shared" si="27"/>
        <v>650289.44214731152</v>
      </c>
      <c r="BG20" s="4">
        <f t="shared" ref="BG20:CL20" si="28">BF20*(1+$AC$23)</f>
        <v>656792.33656878467</v>
      </c>
      <c r="BH20" s="4">
        <f t="shared" si="28"/>
        <v>663360.2599344725</v>
      </c>
      <c r="BI20" s="4">
        <f t="shared" si="28"/>
        <v>669993.86253381718</v>
      </c>
      <c r="BJ20" s="4">
        <f t="shared" si="28"/>
        <v>676693.80115915532</v>
      </c>
      <c r="BK20" s="4">
        <f t="shared" si="28"/>
        <v>683460.73917074688</v>
      </c>
      <c r="BL20" s="4">
        <f t="shared" si="28"/>
        <v>690295.34656245436</v>
      </c>
      <c r="BM20" s="4">
        <f t="shared" si="28"/>
        <v>697198.30002807896</v>
      </c>
      <c r="BN20" s="4">
        <f t="shared" si="28"/>
        <v>704170.28302835976</v>
      </c>
      <c r="BO20" s="4">
        <f t="shared" si="28"/>
        <v>711211.98585864331</v>
      </c>
      <c r="BP20" s="4">
        <f t="shared" si="28"/>
        <v>718324.10571722977</v>
      </c>
      <c r="BQ20" s="4">
        <f t="shared" si="28"/>
        <v>725507.34677440207</v>
      </c>
      <c r="BR20" s="4">
        <f t="shared" si="28"/>
        <v>732762.42024214612</v>
      </c>
      <c r="BS20" s="4">
        <f t="shared" si="28"/>
        <v>740090.04444456764</v>
      </c>
      <c r="BT20" s="4">
        <f t="shared" si="28"/>
        <v>747490.94488901331</v>
      </c>
      <c r="BU20" s="4">
        <f t="shared" si="28"/>
        <v>754965.85433790344</v>
      </c>
      <c r="BV20" s="4">
        <f t="shared" si="28"/>
        <v>762515.51288128248</v>
      </c>
      <c r="BW20" s="4">
        <f t="shared" si="28"/>
        <v>770140.66801009537</v>
      </c>
      <c r="BX20" s="4">
        <f t="shared" si="28"/>
        <v>777842.07469019631</v>
      </c>
      <c r="BY20" s="4">
        <f t="shared" si="28"/>
        <v>785620.49543709832</v>
      </c>
      <c r="BZ20" s="4">
        <f t="shared" si="28"/>
        <v>793476.70039146929</v>
      </c>
      <c r="CA20" s="4">
        <f t="shared" si="28"/>
        <v>801411.46739538398</v>
      </c>
      <c r="CB20" s="4">
        <f t="shared" si="28"/>
        <v>809425.58206933783</v>
      </c>
      <c r="CC20" s="4">
        <f t="shared" si="28"/>
        <v>817519.83789003117</v>
      </c>
      <c r="CD20" s="4">
        <f t="shared" si="28"/>
        <v>825695.03626893146</v>
      </c>
      <c r="CE20" s="4">
        <f t="shared" si="28"/>
        <v>833951.98663162079</v>
      </c>
      <c r="CF20" s="4">
        <f t="shared" si="28"/>
        <v>842291.50649793702</v>
      </c>
      <c r="CG20" s="4">
        <f t="shared" si="28"/>
        <v>850714.42156291637</v>
      </c>
      <c r="CH20" s="4">
        <f t="shared" si="28"/>
        <v>859221.56577854557</v>
      </c>
      <c r="CI20" s="4">
        <f t="shared" si="28"/>
        <v>867813.78143633099</v>
      </c>
      <c r="CJ20" s="4">
        <f t="shared" si="28"/>
        <v>876491.91925069434</v>
      </c>
      <c r="CK20" s="4">
        <f t="shared" si="28"/>
        <v>885256.83844320127</v>
      </c>
      <c r="CL20" s="4">
        <f t="shared" si="28"/>
        <v>894109.40682763327</v>
      </c>
      <c r="CM20" s="4">
        <f t="shared" ref="CM20:DR20" si="29">CL20*(1+$AC$23)</f>
        <v>903050.50089590962</v>
      </c>
      <c r="CN20" s="4">
        <f t="shared" si="29"/>
        <v>912081.00590486871</v>
      </c>
      <c r="CO20" s="4">
        <f t="shared" si="29"/>
        <v>921201.81596391741</v>
      </c>
      <c r="CP20" s="4">
        <f t="shared" si="29"/>
        <v>930413.83412355662</v>
      </c>
      <c r="CQ20" s="4">
        <f t="shared" si="29"/>
        <v>939717.9724647922</v>
      </c>
      <c r="CR20" s="4">
        <f t="shared" si="29"/>
        <v>949115.15218944009</v>
      </c>
      <c r="CS20" s="4">
        <f t="shared" si="29"/>
        <v>958606.30371133448</v>
      </c>
      <c r="CT20" s="4">
        <f t="shared" si="29"/>
        <v>968192.36674844788</v>
      </c>
      <c r="CU20" s="4">
        <f t="shared" si="29"/>
        <v>977874.29041593242</v>
      </c>
      <c r="CV20" s="4">
        <f t="shared" si="29"/>
        <v>987653.03332009178</v>
      </c>
      <c r="CW20" s="4">
        <f t="shared" si="29"/>
        <v>997529.56365329272</v>
      </c>
      <c r="CX20" s="4">
        <f t="shared" si="29"/>
        <v>1007504.8592898257</v>
      </c>
      <c r="CY20" s="4">
        <f t="shared" si="29"/>
        <v>1017579.907882724</v>
      </c>
      <c r="CZ20" s="4">
        <f t="shared" si="29"/>
        <v>1027755.7069615512</v>
      </c>
      <c r="DA20" s="4">
        <f t="shared" si="29"/>
        <v>1038033.2640311668</v>
      </c>
      <c r="DB20" s="4">
        <f t="shared" si="29"/>
        <v>1048413.5966714785</v>
      </c>
      <c r="DC20" s="4">
        <f t="shared" si="29"/>
        <v>1058897.7326381933</v>
      </c>
      <c r="DD20" s="4">
        <f t="shared" si="29"/>
        <v>1069486.7099645752</v>
      </c>
      <c r="DE20" s="4">
        <f t="shared" si="29"/>
        <v>1080181.577064221</v>
      </c>
      <c r="DF20" s="4">
        <f t="shared" si="29"/>
        <v>1090983.3928348632</v>
      </c>
      <c r="DG20" s="4">
        <f t="shared" si="29"/>
        <v>1101893.2267632119</v>
      </c>
      <c r="DH20" s="4">
        <f t="shared" si="29"/>
        <v>1112912.159030844</v>
      </c>
      <c r="DI20" s="4">
        <f t="shared" si="29"/>
        <v>1124041.2806211524</v>
      </c>
      <c r="DJ20" s="4">
        <f t="shared" si="29"/>
        <v>1135281.6934273639</v>
      </c>
      <c r="DK20" s="4">
        <f t="shared" si="29"/>
        <v>1146634.5103616375</v>
      </c>
      <c r="DL20" s="4">
        <f t="shared" si="29"/>
        <v>1158100.8554652538</v>
      </c>
      <c r="DM20" s="4">
        <f t="shared" si="29"/>
        <v>1169681.8640199064</v>
      </c>
      <c r="DN20" s="4">
        <f t="shared" si="29"/>
        <v>1181378.6826601054</v>
      </c>
      <c r="DO20" s="4">
        <f t="shared" si="29"/>
        <v>1193192.4694867064</v>
      </c>
      <c r="DP20" s="4">
        <f t="shared" si="29"/>
        <v>1205124.3941815735</v>
      </c>
      <c r="DQ20" s="4">
        <f t="shared" si="29"/>
        <v>1217175.6381233893</v>
      </c>
      <c r="DR20" s="4">
        <f t="shared" si="29"/>
        <v>1229347.3945046233</v>
      </c>
      <c r="DS20" s="4">
        <f t="shared" ref="DS20:EQ20" si="30">DR20*(1+$AC$23)</f>
        <v>1241640.8684496696</v>
      </c>
      <c r="DT20" s="4">
        <f t="shared" si="30"/>
        <v>1254057.2771341663</v>
      </c>
      <c r="DU20" s="4">
        <f t="shared" si="30"/>
        <v>1266597.8499055081</v>
      </c>
      <c r="DV20" s="4">
        <f t="shared" si="30"/>
        <v>1279263.8284045632</v>
      </c>
      <c r="DW20" s="4">
        <f t="shared" si="30"/>
        <v>1292056.466688609</v>
      </c>
      <c r="DX20" s="4">
        <f t="shared" si="30"/>
        <v>1304977.0313554951</v>
      </c>
      <c r="DY20" s="4">
        <f t="shared" si="30"/>
        <v>1318026.80166905</v>
      </c>
      <c r="DZ20" s="4">
        <f t="shared" si="30"/>
        <v>1331207.0696857406</v>
      </c>
      <c r="EA20" s="4">
        <f t="shared" si="30"/>
        <v>1344519.1403825982</v>
      </c>
      <c r="EB20" s="4">
        <f t="shared" si="30"/>
        <v>1357964.3317864242</v>
      </c>
      <c r="EC20" s="4">
        <f t="shared" si="30"/>
        <v>1371543.9751042884</v>
      </c>
      <c r="ED20" s="4">
        <f t="shared" si="30"/>
        <v>1385259.4148553314</v>
      </c>
      <c r="EE20" s="4">
        <f t="shared" si="30"/>
        <v>1399112.0090038849</v>
      </c>
      <c r="EF20" s="4">
        <f t="shared" si="30"/>
        <v>1413103.1290939236</v>
      </c>
      <c r="EG20" s="4">
        <f t="shared" si="30"/>
        <v>1427234.1603848629</v>
      </c>
      <c r="EH20" s="4">
        <f t="shared" si="30"/>
        <v>1441506.5019887115</v>
      </c>
      <c r="EI20" s="4">
        <f t="shared" si="30"/>
        <v>1455921.5670085987</v>
      </c>
      <c r="EJ20" s="4">
        <f t="shared" si="30"/>
        <v>1470480.7826786847</v>
      </c>
      <c r="EK20" s="4">
        <f t="shared" si="30"/>
        <v>1485185.5905054715</v>
      </c>
      <c r="EL20" s="4">
        <f t="shared" si="30"/>
        <v>1500037.4464105263</v>
      </c>
      <c r="EM20" s="4">
        <f t="shared" si="30"/>
        <v>1515037.8208746316</v>
      </c>
      <c r="EN20" s="4">
        <f t="shared" si="30"/>
        <v>1530188.1990833781</v>
      </c>
      <c r="EO20" s="4">
        <f t="shared" si="30"/>
        <v>1545490.081074212</v>
      </c>
      <c r="EP20" s="4">
        <f t="shared" si="30"/>
        <v>1560944.981884954</v>
      </c>
      <c r="EQ20" s="4">
        <f t="shared" si="30"/>
        <v>1576554.4317038036</v>
      </c>
    </row>
    <row r="21" spans="1:147" x14ac:dyDescent="0.2">
      <c r="B21" s="2" t="s">
        <v>1</v>
      </c>
      <c r="C21" s="2">
        <v>24890</v>
      </c>
      <c r="G21" s="2">
        <v>24611</v>
      </c>
      <c r="H21" s="2">
        <f>G21*0.995</f>
        <v>24487.945</v>
      </c>
      <c r="I21" s="2">
        <f t="shared" ref="I21:J21" si="31">H21*0.995</f>
        <v>24365.505275</v>
      </c>
      <c r="J21" s="2">
        <f t="shared" si="31"/>
        <v>24243.677748624999</v>
      </c>
      <c r="S21" s="2">
        <v>25070</v>
      </c>
      <c r="T21" s="2">
        <v>24940</v>
      </c>
      <c r="U21" s="2">
        <v>24400</v>
      </c>
      <c r="V21" s="2">
        <f>J21</f>
        <v>24243.677748624999</v>
      </c>
      <c r="W21" s="2">
        <f t="shared" ref="W21:Z21" si="32">V21*0.99</f>
        <v>24001.240971138748</v>
      </c>
      <c r="X21" s="2">
        <f t="shared" si="32"/>
        <v>23761.228561427361</v>
      </c>
      <c r="Y21" s="2">
        <f t="shared" si="32"/>
        <v>23523.616275813085</v>
      </c>
      <c r="Z21" s="2">
        <f t="shared" si="32"/>
        <v>23288.380113054955</v>
      </c>
    </row>
    <row r="22" spans="1:147" x14ac:dyDescent="0.2">
      <c r="B22" s="2" t="s">
        <v>16</v>
      </c>
      <c r="C22" s="5">
        <f>C20/C21</f>
        <v>0.5978706307754118</v>
      </c>
      <c r="D22" s="5" t="e">
        <f t="shared" ref="D22:J22" si="33">D20/D21</f>
        <v>#DIV/0!</v>
      </c>
      <c r="E22" s="5" t="e">
        <f t="shared" si="33"/>
        <v>#DIV/0!</v>
      </c>
      <c r="F22" s="5" t="e">
        <f t="shared" si="33"/>
        <v>#DIV/0!</v>
      </c>
      <c r="G22" s="5">
        <f t="shared" si="33"/>
        <v>0.75937588883019791</v>
      </c>
      <c r="H22" s="5">
        <f t="shared" si="33"/>
        <v>0.93193994228588806</v>
      </c>
      <c r="I22" s="5">
        <f t="shared" si="33"/>
        <v>1.1054379277717437</v>
      </c>
      <c r="J22" s="5">
        <f t="shared" si="33"/>
        <v>1.3071204714604432</v>
      </c>
      <c r="K22" s="5"/>
      <c r="S22" s="5">
        <f>S20/S21</f>
        <v>0.22820103709613082</v>
      </c>
      <c r="T22" s="5">
        <f>T20/T21</f>
        <v>1.1932638331996792</v>
      </c>
      <c r="U22" s="5">
        <f>U20/U21</f>
        <v>2.9868852459016395</v>
      </c>
      <c r="V22" s="5">
        <f t="shared" ref="V22:Z22" si="34">V20/V21</f>
        <v>4.1303244597327851</v>
      </c>
      <c r="W22" s="5">
        <f t="shared" si="34"/>
        <v>6.324108475044449</v>
      </c>
      <c r="X22" s="5">
        <f t="shared" si="34"/>
        <v>9.3493219972864292</v>
      </c>
      <c r="Y22" s="5">
        <f t="shared" si="34"/>
        <v>13.792563896251446</v>
      </c>
      <c r="Z22" s="5">
        <f t="shared" si="34"/>
        <v>20.308762506977075</v>
      </c>
      <c r="AA22" s="5"/>
      <c r="AB22" s="2" t="s">
        <v>26</v>
      </c>
      <c r="AC22" s="6">
        <v>0.02</v>
      </c>
      <c r="AD22" s="5"/>
      <c r="AE22" s="5"/>
    </row>
    <row r="23" spans="1:147" x14ac:dyDescent="0.2">
      <c r="L23" s="5"/>
      <c r="M23" s="5"/>
      <c r="N23" s="5"/>
      <c r="O23" s="5"/>
      <c r="S23" s="6"/>
      <c r="T23" s="6"/>
      <c r="U23" s="6"/>
      <c r="V23" s="6"/>
      <c r="W23" s="6"/>
      <c r="X23" s="6"/>
      <c r="Y23" s="6"/>
      <c r="Z23" s="6"/>
      <c r="AA23" s="6"/>
      <c r="AB23" s="2" t="s">
        <v>25</v>
      </c>
      <c r="AC23" s="6">
        <v>0.01</v>
      </c>
      <c r="AD23" s="6"/>
      <c r="AE23" s="6"/>
    </row>
    <row r="24" spans="1:147" s="4" customFormat="1" x14ac:dyDescent="0.2">
      <c r="B24" s="4" t="s">
        <v>17</v>
      </c>
      <c r="G24" s="7">
        <f>G9/C9-1</f>
        <v>0.68852710797112571</v>
      </c>
      <c r="H24" s="7" t="e">
        <f t="shared" ref="H24:J24" si="35">H9/D9-1</f>
        <v>#DIV/0!</v>
      </c>
      <c r="I24" s="7" t="e">
        <f t="shared" si="35"/>
        <v>#DIV/0!</v>
      </c>
      <c r="J24" s="7">
        <f t="shared" si="35"/>
        <v>0.4620992366412211</v>
      </c>
      <c r="K24" s="7"/>
      <c r="Q24" s="7">
        <f t="shared" ref="Q24:Z24" si="36">Q9/P9-1</f>
        <v>-6.8259385665529027E-2</v>
      </c>
      <c r="R24" s="7">
        <f t="shared" si="36"/>
        <v>0.52747252747252737</v>
      </c>
      <c r="S24" s="7">
        <f t="shared" si="36"/>
        <v>0.61714628297362117</v>
      </c>
      <c r="T24" s="7">
        <f t="shared" si="36"/>
        <v>1.2585452658115224</v>
      </c>
      <c r="U24" s="7">
        <f t="shared" si="36"/>
        <v>1.1420340763599355</v>
      </c>
      <c r="V24" s="7">
        <f t="shared" si="36"/>
        <v>0.51180870058315509</v>
      </c>
      <c r="W24" s="7">
        <f t="shared" si="36"/>
        <v>0.43999999999999995</v>
      </c>
      <c r="X24" s="7">
        <f t="shared" si="36"/>
        <v>0.43999999999999995</v>
      </c>
      <c r="Y24" s="7">
        <f t="shared" si="36"/>
        <v>0.43999999999999995</v>
      </c>
      <c r="Z24" s="7">
        <f t="shared" si="36"/>
        <v>0.43999999999999995</v>
      </c>
      <c r="AA24" s="7"/>
      <c r="AB24" s="2" t="s">
        <v>27</v>
      </c>
      <c r="AC24" s="21">
        <v>9.5000000000000001E-2</v>
      </c>
      <c r="AD24" s="7"/>
      <c r="AE24" s="7"/>
    </row>
    <row r="25" spans="1:147" x14ac:dyDescent="0.2">
      <c r="B25" s="2" t="s">
        <v>18</v>
      </c>
      <c r="D25" s="6">
        <f>D9/C9-1</f>
        <v>-1</v>
      </c>
      <c r="E25" s="6" t="e">
        <f>E9/D9-1</f>
        <v>#DIV/0!</v>
      </c>
      <c r="F25" s="6" t="e">
        <f>F9/E9-1</f>
        <v>#DIV/0!</v>
      </c>
      <c r="G25" s="6">
        <f>G9/F9-1</f>
        <v>0.11898218829516538</v>
      </c>
      <c r="H25" s="6">
        <f t="shared" ref="H25:J25" si="37">H9/G9-1</f>
        <v>2.3285428415499299E-2</v>
      </c>
      <c r="I25" s="6">
        <f t="shared" si="37"/>
        <v>0.12999999999999989</v>
      </c>
      <c r="J25" s="6">
        <f t="shared" si="37"/>
        <v>0.12999999999999989</v>
      </c>
      <c r="K25" s="6"/>
      <c r="AB25" s="2" t="s">
        <v>24</v>
      </c>
      <c r="AC25" s="2">
        <f>NPV(AC24,V83:DY83)+Main!K5-Main!K6</f>
        <v>4903642.3565848479</v>
      </c>
    </row>
    <row r="26" spans="1:147" x14ac:dyDescent="0.2">
      <c r="B26" s="17" t="s">
        <v>82</v>
      </c>
      <c r="G26" s="6">
        <f>G12/C12-1</f>
        <v>0.46654411764705883</v>
      </c>
      <c r="H26" s="6" t="e">
        <f t="shared" ref="H26:J26" si="38">H12/D12-1</f>
        <v>#DIV/0!</v>
      </c>
      <c r="I26" s="6" t="e">
        <f t="shared" si="38"/>
        <v>#DIV/0!</v>
      </c>
      <c r="J26" s="6" t="e">
        <f t="shared" si="38"/>
        <v>#DIV/0!</v>
      </c>
      <c r="K26" s="6"/>
      <c r="T26" s="6">
        <f t="shared" ref="T26:V27" si="39">T12/S12-1</f>
        <v>0.18204115002043886</v>
      </c>
      <c r="U26" s="6">
        <f t="shared" si="39"/>
        <v>0.48864553314121029</v>
      </c>
      <c r="V26" s="6">
        <f t="shared" si="39"/>
        <v>0.27312175251664872</v>
      </c>
      <c r="W26" s="6">
        <f t="shared" ref="W26:Z26" si="40">W12/V12-1</f>
        <v>0.22999999999999998</v>
      </c>
      <c r="X26" s="6">
        <f t="shared" si="40"/>
        <v>0.22999999999999998</v>
      </c>
      <c r="Y26" s="6">
        <f t="shared" si="40"/>
        <v>0.22999999999999998</v>
      </c>
      <c r="Z26" s="6">
        <f t="shared" si="40"/>
        <v>0.2300000000000002</v>
      </c>
      <c r="AB26" s="2" t="s">
        <v>0</v>
      </c>
      <c r="AC26" s="5">
        <f>AC25/Main!K3</f>
        <v>200.96894904036262</v>
      </c>
    </row>
    <row r="27" spans="1:147" x14ac:dyDescent="0.2">
      <c r="B27" s="17" t="s">
        <v>83</v>
      </c>
      <c r="G27" s="6">
        <f>G13/C13-1</f>
        <v>0.33976833976833976</v>
      </c>
      <c r="H27" s="6" t="e">
        <f t="shared" ref="H27:J27" si="41">H13/D13-1</f>
        <v>#DIV/0!</v>
      </c>
      <c r="I27" s="6" t="e">
        <f t="shared" si="41"/>
        <v>#DIV/0!</v>
      </c>
      <c r="J27" s="6" t="e">
        <f t="shared" si="41"/>
        <v>#DIV/0!</v>
      </c>
      <c r="K27" s="6"/>
      <c r="T27" s="6">
        <f t="shared" si="39"/>
        <v>8.7704918032786905E-2</v>
      </c>
      <c r="U27" s="6">
        <f t="shared" si="39"/>
        <v>0.31537302185380556</v>
      </c>
      <c r="V27" s="6">
        <f t="shared" si="39"/>
        <v>0.22904437926095644</v>
      </c>
      <c r="W27" s="6">
        <f t="shared" ref="W27:Z27" si="42">W13/V13-1</f>
        <v>0.19999999999999996</v>
      </c>
      <c r="X27" s="6">
        <f t="shared" si="42"/>
        <v>0.19999999999999996</v>
      </c>
      <c r="Y27" s="6">
        <f t="shared" si="42"/>
        <v>0.19999999999999996</v>
      </c>
      <c r="Z27" s="6">
        <f t="shared" si="42"/>
        <v>0.19999999999999996</v>
      </c>
      <c r="AB27" s="2" t="s">
        <v>28</v>
      </c>
      <c r="AC27" s="6">
        <f>AC26/Main!K2-1</f>
        <v>9.8190978362637349E-2</v>
      </c>
    </row>
    <row r="29" spans="1:147" s="4" customFormat="1" x14ac:dyDescent="0.2">
      <c r="B29" s="4" t="s">
        <v>19</v>
      </c>
      <c r="C29" s="7">
        <f>C11/C9</f>
        <v>0.78352019659038552</v>
      </c>
      <c r="D29" s="7" t="e">
        <f>D11/D9</f>
        <v>#DIV/0!</v>
      </c>
      <c r="E29" s="7" t="e">
        <f>E11/E9</f>
        <v>#DIV/0!</v>
      </c>
      <c r="F29" s="7">
        <f>F11/F9</f>
        <v>1</v>
      </c>
      <c r="G29" s="7">
        <f>G11/G9</f>
        <v>0.604466072403129</v>
      </c>
      <c r="H29" s="7">
        <v>0.72</v>
      </c>
      <c r="I29" s="7">
        <f>H29*1.02</f>
        <v>0.73439999999999994</v>
      </c>
      <c r="J29" s="7">
        <f>I29*1.02</f>
        <v>0.74908799999999998</v>
      </c>
      <c r="K29" s="7"/>
      <c r="Q29" s="7">
        <f t="shared" ref="Q29:V29" si="43">Q11/Q9</f>
        <v>1</v>
      </c>
      <c r="R29" s="7">
        <f t="shared" si="43"/>
        <v>1</v>
      </c>
      <c r="S29" s="7">
        <f t="shared" si="43"/>
        <v>0.56928894490991322</v>
      </c>
      <c r="T29" s="7">
        <f t="shared" si="43"/>
        <v>0.72717573290436954</v>
      </c>
      <c r="U29" s="7">
        <f t="shared" si="43"/>
        <v>0.74988697058169917</v>
      </c>
      <c r="V29" s="7">
        <f t="shared" si="43"/>
        <v>0.70643055162922963</v>
      </c>
      <c r="W29" s="7">
        <v>0.74</v>
      </c>
      <c r="X29" s="7">
        <v>0.74</v>
      </c>
      <c r="Y29" s="7">
        <v>0.74</v>
      </c>
      <c r="Z29" s="7">
        <v>0.74</v>
      </c>
      <c r="AA29" s="7"/>
      <c r="AB29" s="7"/>
      <c r="AC29" s="7"/>
      <c r="AD29" s="7"/>
      <c r="AE29" s="7"/>
    </row>
    <row r="30" spans="1:147" x14ac:dyDescent="0.2">
      <c r="A30" s="4"/>
      <c r="B30" s="2" t="s">
        <v>34</v>
      </c>
      <c r="C30" s="6">
        <f t="shared" ref="C30:J30" si="44">C15/C9</f>
        <v>0.64924742743050223</v>
      </c>
      <c r="D30" s="6" t="e">
        <f t="shared" si="44"/>
        <v>#DIV/0!</v>
      </c>
      <c r="E30" s="6" t="e">
        <f t="shared" si="44"/>
        <v>#DIV/0!</v>
      </c>
      <c r="F30" s="6">
        <f t="shared" si="44"/>
        <v>1</v>
      </c>
      <c r="G30" s="6">
        <f t="shared" si="44"/>
        <v>0.49008550118246313</v>
      </c>
      <c r="H30" s="6">
        <f t="shared" si="44"/>
        <v>0.60598666666666667</v>
      </c>
      <c r="I30" s="6">
        <f t="shared" si="44"/>
        <v>0.63148530973451322</v>
      </c>
      <c r="J30" s="6">
        <f t="shared" si="44"/>
        <v>0.65619155391964912</v>
      </c>
      <c r="K30" s="6"/>
      <c r="Q30" s="6"/>
      <c r="R30" s="6"/>
      <c r="S30" s="6">
        <f t="shared" ref="S30:Z30" si="45">S15/S9</f>
        <v>0.20675465262845702</v>
      </c>
      <c r="T30" s="6">
        <f t="shared" si="45"/>
        <v>0.54121663766783756</v>
      </c>
      <c r="U30" s="6">
        <f t="shared" si="45"/>
        <v>0.62417526839697468</v>
      </c>
      <c r="V30" s="6">
        <f t="shared" si="45"/>
        <v>0.60134638094345039</v>
      </c>
      <c r="W30" s="6">
        <f t="shared" si="45"/>
        <v>0.65069368829173135</v>
      </c>
      <c r="X30" s="6">
        <f t="shared" si="45"/>
        <v>0.66409509548738266</v>
      </c>
      <c r="Y30" s="6">
        <f t="shared" si="45"/>
        <v>0.67547920245507997</v>
      </c>
      <c r="Z30" s="6">
        <f t="shared" si="45"/>
        <v>0.68515068686894243</v>
      </c>
      <c r="AA30" s="6"/>
      <c r="AB30" s="6"/>
      <c r="AC30" s="6"/>
      <c r="AD30" s="6"/>
      <c r="AE30" s="6"/>
    </row>
    <row r="32" spans="1:147" x14ac:dyDescent="0.2">
      <c r="B32" s="2" t="s">
        <v>21</v>
      </c>
      <c r="C32" s="2">
        <f>C33-C47</f>
        <v>44747</v>
      </c>
      <c r="G32" s="2">
        <f>G33-G47</f>
        <v>45227</v>
      </c>
      <c r="H32" s="2">
        <f>G32+H20</f>
        <v>68048.294049999997</v>
      </c>
      <c r="I32" s="2">
        <f>H32+I20</f>
        <v>94982.847710307484</v>
      </c>
      <c r="J32" s="2">
        <f>I32+J20</f>
        <v>126672.25519902524</v>
      </c>
      <c r="U32" s="2">
        <f>U33-U47</f>
        <v>30502</v>
      </c>
      <c r="V32" s="2">
        <f>J32</f>
        <v>126672.25519902524</v>
      </c>
      <c r="W32" s="2">
        <f>V32+W16</f>
        <v>129205.70030300574</v>
      </c>
      <c r="X32" s="2">
        <f>W32+X16</f>
        <v>131789.81430906584</v>
      </c>
      <c r="Y32" s="2">
        <f>X32+Y16</f>
        <v>134425.61059524716</v>
      </c>
      <c r="Z32" s="2">
        <f>Y32+Z16</f>
        <v>137114.1228071521</v>
      </c>
    </row>
    <row r="33" spans="2:21" x14ac:dyDescent="0.2">
      <c r="B33" s="2" t="s">
        <v>3</v>
      </c>
      <c r="C33" s="2">
        <v>53210</v>
      </c>
      <c r="G33" s="2">
        <v>53691</v>
      </c>
      <c r="U33" s="2">
        <f>8589+34621</f>
        <v>43210</v>
      </c>
    </row>
    <row r="34" spans="2:21" x14ac:dyDescent="0.2">
      <c r="B34" s="2" t="s">
        <v>22</v>
      </c>
      <c r="C34" s="2">
        <v>23065</v>
      </c>
      <c r="G34" s="2">
        <v>22132</v>
      </c>
    </row>
    <row r="35" spans="2:21" x14ac:dyDescent="0.2">
      <c r="B35" s="2" t="s">
        <v>59</v>
      </c>
      <c r="C35" s="2">
        <v>10080</v>
      </c>
      <c r="G35" s="2">
        <v>11333</v>
      </c>
    </row>
    <row r="36" spans="2:21" x14ac:dyDescent="0.2">
      <c r="B36" s="23" t="s">
        <v>70</v>
      </c>
      <c r="C36" s="2">
        <v>3771</v>
      </c>
      <c r="G36" s="2">
        <v>2779</v>
      </c>
    </row>
    <row r="37" spans="2:21" x14ac:dyDescent="0.2">
      <c r="B37" s="23" t="s">
        <v>72</v>
      </c>
      <c r="C37" s="2">
        <v>6283</v>
      </c>
      <c r="G37" s="2">
        <v>7136</v>
      </c>
    </row>
    <row r="38" spans="2:21" x14ac:dyDescent="0.2">
      <c r="B38" s="23" t="s">
        <v>94</v>
      </c>
      <c r="C38" s="2">
        <v>1793</v>
      </c>
      <c r="G38" s="2">
        <v>1810</v>
      </c>
    </row>
    <row r="39" spans="2:21" x14ac:dyDescent="0.2">
      <c r="B39" s="23" t="s">
        <v>95</v>
      </c>
      <c r="C39" s="2">
        <v>5188</v>
      </c>
      <c r="G39" s="2">
        <v>5498</v>
      </c>
    </row>
    <row r="40" spans="2:21" x14ac:dyDescent="0.2">
      <c r="B40" s="23" t="s">
        <v>96</v>
      </c>
      <c r="C40" s="2">
        <v>807</v>
      </c>
      <c r="G40" s="2">
        <v>769</v>
      </c>
    </row>
    <row r="41" spans="2:21" x14ac:dyDescent="0.2">
      <c r="B41" s="23" t="s">
        <v>68</v>
      </c>
      <c r="C41" s="2">
        <v>10979</v>
      </c>
      <c r="G41" s="2">
        <v>13318</v>
      </c>
    </row>
    <row r="42" spans="2:21" x14ac:dyDescent="0.2">
      <c r="B42" s="23" t="s">
        <v>97</v>
      </c>
      <c r="C42" s="2">
        <v>6425</v>
      </c>
      <c r="G42" s="2">
        <v>6788</v>
      </c>
    </row>
    <row r="43" spans="2:21" x14ac:dyDescent="0.2">
      <c r="B43" s="23" t="s">
        <v>64</v>
      </c>
      <c r="C43" s="2">
        <f>SUM(C33:C42)</f>
        <v>121601</v>
      </c>
      <c r="G43" s="2">
        <f>SUM(G33:G42)</f>
        <v>125254</v>
      </c>
    </row>
    <row r="45" spans="2:21" x14ac:dyDescent="0.2">
      <c r="B45" s="2" t="s">
        <v>23</v>
      </c>
      <c r="C45" s="2">
        <v>6310</v>
      </c>
      <c r="G45" s="2">
        <v>7331</v>
      </c>
    </row>
    <row r="46" spans="2:21" x14ac:dyDescent="0.2">
      <c r="B46" s="23" t="s">
        <v>98</v>
      </c>
      <c r="C46" s="2">
        <v>11737</v>
      </c>
      <c r="G46" s="2">
        <v>19211</v>
      </c>
    </row>
    <row r="47" spans="2:21" x14ac:dyDescent="0.2">
      <c r="B47" s="2" t="s">
        <v>4</v>
      </c>
      <c r="C47" s="2">
        <v>8463</v>
      </c>
      <c r="G47" s="2">
        <v>8464</v>
      </c>
      <c r="U47" s="2">
        <f>8463+4245</f>
        <v>12708</v>
      </c>
    </row>
    <row r="48" spans="2:21" x14ac:dyDescent="0.2">
      <c r="B48" s="2" t="s">
        <v>60</v>
      </c>
      <c r="C48" s="2">
        <v>1519</v>
      </c>
      <c r="G48" s="2">
        <v>1521</v>
      </c>
    </row>
    <row r="49" spans="1:31" x14ac:dyDescent="0.2">
      <c r="B49" s="2" t="s">
        <v>61</v>
      </c>
      <c r="C49" s="2">
        <v>4245</v>
      </c>
      <c r="G49" s="2">
        <v>4884</v>
      </c>
    </row>
    <row r="50" spans="1:31" x14ac:dyDescent="0.2">
      <c r="B50" s="23" t="s">
        <v>99</v>
      </c>
      <c r="C50" s="2">
        <f>SUM(C45:C49)</f>
        <v>32274</v>
      </c>
      <c r="G50" s="2">
        <f>SUM(G45:G49)</f>
        <v>41411</v>
      </c>
    </row>
    <row r="51" spans="1:31" x14ac:dyDescent="0.2">
      <c r="B51" s="2" t="s">
        <v>63</v>
      </c>
      <c r="C51" s="2">
        <f>C43-C50</f>
        <v>89327</v>
      </c>
      <c r="G51" s="2">
        <f>G43-G50</f>
        <v>83843</v>
      </c>
    </row>
    <row r="52" spans="1:31" x14ac:dyDescent="0.2">
      <c r="B52" s="2" t="s">
        <v>62</v>
      </c>
      <c r="C52" s="2">
        <f>C51+C50</f>
        <v>121601</v>
      </c>
      <c r="G52" s="2">
        <f>G51+G50</f>
        <v>125254</v>
      </c>
    </row>
    <row r="54" spans="1:31" x14ac:dyDescent="0.2">
      <c r="B54" s="2" t="s">
        <v>29</v>
      </c>
      <c r="C54" s="2">
        <f t="shared" ref="C54" si="46">C20</f>
        <v>14881</v>
      </c>
      <c r="G54" s="2">
        <f t="shared" ref="G54" si="47">G20</f>
        <v>18689</v>
      </c>
      <c r="Q54" s="2">
        <f t="shared" ref="Q54:Z54" si="48">Q20</f>
        <v>10920</v>
      </c>
      <c r="R54" s="2">
        <f t="shared" si="48"/>
        <v>16680</v>
      </c>
      <c r="S54" s="2">
        <f t="shared" si="48"/>
        <v>5721</v>
      </c>
      <c r="T54" s="2">
        <f t="shared" si="48"/>
        <v>29760</v>
      </c>
      <c r="U54" s="2">
        <f t="shared" si="48"/>
        <v>72880</v>
      </c>
      <c r="V54" s="2">
        <f t="shared" si="48"/>
        <v>100134.2551990253</v>
      </c>
      <c r="W54" s="2">
        <f t="shared" si="48"/>
        <v>151786.45143716261</v>
      </c>
      <c r="X54" s="2">
        <f t="shared" si="48"/>
        <v>222151.3768719034</v>
      </c>
      <c r="Y54" s="2">
        <f t="shared" si="48"/>
        <v>324450.98055505246</v>
      </c>
      <c r="Z54" s="2">
        <f t="shared" si="48"/>
        <v>472958.18088824098</v>
      </c>
    </row>
    <row r="55" spans="1:31" x14ac:dyDescent="0.2">
      <c r="B55" s="2" t="s">
        <v>30</v>
      </c>
      <c r="C55" s="2">
        <v>14881</v>
      </c>
      <c r="G55" s="2">
        <v>18775</v>
      </c>
      <c r="S55" s="2">
        <v>4368</v>
      </c>
      <c r="T55" s="2">
        <v>29760</v>
      </c>
      <c r="U55" s="2">
        <v>72880</v>
      </c>
    </row>
    <row r="56" spans="1:31" x14ac:dyDescent="0.2">
      <c r="B56" s="2" t="s">
        <v>66</v>
      </c>
      <c r="G56" s="2">
        <v>1474</v>
      </c>
      <c r="T56" s="2">
        <v>3549</v>
      </c>
      <c r="U56" s="2">
        <v>4737</v>
      </c>
      <c r="V56" s="2">
        <f>U56*1.2</f>
        <v>5684.4</v>
      </c>
      <c r="W56" s="2">
        <f t="shared" ref="W56:Z56" si="49">V56*1.2</f>
        <v>6821.28</v>
      </c>
      <c r="X56" s="2">
        <f t="shared" si="49"/>
        <v>8185.5359999999991</v>
      </c>
      <c r="Y56" s="2">
        <f t="shared" si="49"/>
        <v>9822.6431999999986</v>
      </c>
      <c r="Z56" s="2">
        <f t="shared" si="49"/>
        <v>11787.171839999997</v>
      </c>
    </row>
    <row r="57" spans="1:31" s="4" customFormat="1" x14ac:dyDescent="0.2">
      <c r="A57" s="2"/>
      <c r="B57" s="2" t="s">
        <v>67</v>
      </c>
      <c r="G57" s="4">
        <v>611</v>
      </c>
      <c r="T57" s="2">
        <v>1508</v>
      </c>
      <c r="U57" s="2">
        <v>1864</v>
      </c>
      <c r="V57" s="2">
        <f>U57*(1+V24)</f>
        <v>2818.0114178870012</v>
      </c>
      <c r="W57" s="2">
        <f>V57*(1+W24)</f>
        <v>4057.9364417572815</v>
      </c>
      <c r="X57" s="2">
        <f>W57*(1+X24)</f>
        <v>5843.4284761304853</v>
      </c>
      <c r="Y57" s="2">
        <f>X57*(1+Y24)</f>
        <v>8414.5370056278989</v>
      </c>
      <c r="Z57" s="2">
        <f>Y57*(1+Z24)</f>
        <v>12116.933288104174</v>
      </c>
      <c r="AA57" s="2"/>
      <c r="AB57" s="2"/>
      <c r="AC57" s="2"/>
      <c r="AD57" s="2"/>
      <c r="AE57" s="2"/>
    </row>
    <row r="58" spans="1:31" x14ac:dyDescent="0.2">
      <c r="B58" s="2" t="s">
        <v>68</v>
      </c>
      <c r="G58" s="2">
        <v>-2177</v>
      </c>
      <c r="T58" s="2">
        <v>-2489</v>
      </c>
      <c r="U58" s="2">
        <v>-4477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</row>
    <row r="59" spans="1:31" x14ac:dyDescent="0.2">
      <c r="B59" s="2" t="s">
        <v>69</v>
      </c>
      <c r="G59" s="2">
        <v>175</v>
      </c>
      <c r="T59" s="2">
        <v>-238</v>
      </c>
      <c r="U59" s="2">
        <v>-1030</v>
      </c>
      <c r="V59" s="2">
        <v>180</v>
      </c>
      <c r="W59" s="2">
        <v>0</v>
      </c>
      <c r="X59" s="2">
        <v>0</v>
      </c>
      <c r="Y59" s="2">
        <v>0</v>
      </c>
      <c r="Z59" s="2">
        <v>0</v>
      </c>
    </row>
    <row r="60" spans="1:31" x14ac:dyDescent="0.2">
      <c r="B60" s="2" t="s">
        <v>12</v>
      </c>
      <c r="G60" s="2">
        <v>-98</v>
      </c>
      <c r="T60" s="2">
        <v>-278</v>
      </c>
      <c r="U60" s="2">
        <v>-502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</row>
    <row r="61" spans="1:31" x14ac:dyDescent="0.2">
      <c r="B61" s="2" t="s">
        <v>22</v>
      </c>
      <c r="G61" s="2">
        <v>933</v>
      </c>
      <c r="T61" s="2">
        <v>-6172</v>
      </c>
      <c r="U61" s="2">
        <v>-13063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</row>
    <row r="62" spans="1:31" x14ac:dyDescent="0.2">
      <c r="B62" s="2" t="s">
        <v>59</v>
      </c>
      <c r="G62" s="2">
        <v>-1258</v>
      </c>
      <c r="T62" s="2">
        <v>-98</v>
      </c>
      <c r="U62" s="2">
        <v>-4781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</row>
    <row r="63" spans="1:31" x14ac:dyDescent="0.2">
      <c r="B63" s="2" t="s">
        <v>70</v>
      </c>
      <c r="G63" s="2">
        <v>560</v>
      </c>
      <c r="T63" s="2">
        <v>-1522</v>
      </c>
      <c r="U63" s="2">
        <v>-395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</row>
    <row r="64" spans="1:31" x14ac:dyDescent="0.2">
      <c r="B64" s="2" t="s">
        <v>23</v>
      </c>
      <c r="G64" s="2">
        <v>941</v>
      </c>
      <c r="T64" s="2">
        <v>1531</v>
      </c>
      <c r="U64" s="2">
        <v>3357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</row>
    <row r="65" spans="2:26" x14ac:dyDescent="0.2">
      <c r="B65" s="2" t="s">
        <v>71</v>
      </c>
      <c r="G65" s="2">
        <v>7128</v>
      </c>
      <c r="T65" s="2">
        <v>2025</v>
      </c>
      <c r="U65" s="2">
        <v>4278</v>
      </c>
      <c r="V65" s="2">
        <f>U65*(1+V24)</f>
        <v>6467.5176210947375</v>
      </c>
      <c r="W65" s="2">
        <f>V65*(1+W24)</f>
        <v>9313.2253743764213</v>
      </c>
      <c r="X65" s="2">
        <f>W65*(1+X24)</f>
        <v>13411.044539102046</v>
      </c>
      <c r="Y65" s="2">
        <f>X65*(1+Y24)</f>
        <v>19311.904136306945</v>
      </c>
      <c r="Z65" s="2">
        <f>Y65*(1+Z24)</f>
        <v>27809.141956281997</v>
      </c>
    </row>
    <row r="66" spans="2:26" x14ac:dyDescent="0.2">
      <c r="B66" s="2" t="s">
        <v>61</v>
      </c>
      <c r="G66" s="2">
        <v>350</v>
      </c>
      <c r="T66" s="2">
        <v>514</v>
      </c>
      <c r="U66" s="2">
        <v>1221</v>
      </c>
      <c r="V66" s="2">
        <f>U66*(1+V24)</f>
        <v>1845.9184234120323</v>
      </c>
      <c r="W66" s="2">
        <f>V66*(1+W24)</f>
        <v>2658.1225297133265</v>
      </c>
      <c r="X66" s="2">
        <f>W66*(1+X24)</f>
        <v>3827.6964427871899</v>
      </c>
      <c r="Y66" s="2">
        <f>X66*(1+Y24)</f>
        <v>5511.8828776135533</v>
      </c>
      <c r="Z66" s="2">
        <f>Y66*(1+Z24)</f>
        <v>7937.1113437635167</v>
      </c>
    </row>
    <row r="67" spans="2:26" x14ac:dyDescent="0.2">
      <c r="B67" s="23" t="s">
        <v>102</v>
      </c>
      <c r="G67" s="2">
        <f>SUM(G33:G36)-SUM(G45:G46)</f>
        <v>63393</v>
      </c>
    </row>
    <row r="68" spans="2:26" x14ac:dyDescent="0.2">
      <c r="B68" s="2" t="s">
        <v>42</v>
      </c>
      <c r="C68" s="2">
        <f>SUM(C55:C66)</f>
        <v>14881</v>
      </c>
      <c r="G68" s="2">
        <f>SUM(G55:G66)</f>
        <v>27414</v>
      </c>
      <c r="Q68" s="2">
        <v>5822</v>
      </c>
      <c r="R68" s="2">
        <v>9108</v>
      </c>
      <c r="S68" s="2">
        <v>5641</v>
      </c>
      <c r="T68" s="2">
        <f>SUM(T55:T66)</f>
        <v>28090</v>
      </c>
      <c r="U68" s="2">
        <f>SUM(U55:U66)</f>
        <v>64089</v>
      </c>
      <c r="V68" s="2">
        <f>SUM(V56:V66,V54)</f>
        <v>117130.10266141906</v>
      </c>
      <c r="W68" s="2">
        <f t="shared" ref="W68:Z68" si="50">SUM(W56:W66,W54)</f>
        <v>174637.01578300964</v>
      </c>
      <c r="X68" s="2">
        <f t="shared" si="50"/>
        <v>253419.08232992311</v>
      </c>
      <c r="Y68" s="2">
        <f t="shared" si="50"/>
        <v>367511.94777460088</v>
      </c>
      <c r="Z68" s="2">
        <f t="shared" si="50"/>
        <v>532608.53931639064</v>
      </c>
    </row>
    <row r="70" spans="2:26" x14ac:dyDescent="0.2">
      <c r="B70" s="23" t="s">
        <v>103</v>
      </c>
      <c r="C70" s="2">
        <v>-409</v>
      </c>
      <c r="G70" s="2">
        <v>-1279</v>
      </c>
      <c r="Q70" s="2">
        <v>-1155</v>
      </c>
      <c r="R70" s="2">
        <v>-1059</v>
      </c>
      <c r="S70" s="2">
        <v>-1891</v>
      </c>
      <c r="T70" s="2">
        <v>-1069</v>
      </c>
      <c r="U70" s="2">
        <v>-3236</v>
      </c>
      <c r="V70" s="2">
        <f>U70*(1+V24)</f>
        <v>-4892.2129550870895</v>
      </c>
      <c r="W70" s="2">
        <f>V70*(1+W24)</f>
        <v>-7044.7866553254089</v>
      </c>
      <c r="X70" s="2">
        <f>W70*(1+X24)</f>
        <v>-10144.492783668589</v>
      </c>
      <c r="Y70" s="2">
        <f>X70*(1+Y24)</f>
        <v>-14608.069608482769</v>
      </c>
      <c r="Z70" s="2">
        <f>Y70*(1+Z24)</f>
        <v>-21035.620236215185</v>
      </c>
    </row>
    <row r="71" spans="2:26" x14ac:dyDescent="0.2">
      <c r="B71" s="23" t="s">
        <v>104</v>
      </c>
      <c r="C71" s="23"/>
      <c r="G71" s="2">
        <f>3122+467-6546-649</f>
        <v>-3606</v>
      </c>
    </row>
    <row r="72" spans="2:26" x14ac:dyDescent="0.2">
      <c r="B72" s="23" t="s">
        <v>109</v>
      </c>
      <c r="C72" s="23"/>
      <c r="G72" s="2">
        <v>-383</v>
      </c>
    </row>
    <row r="73" spans="2:26" x14ac:dyDescent="0.2">
      <c r="B73" s="23" t="s">
        <v>105</v>
      </c>
      <c r="C73" s="2">
        <f>SUM(C70:C72)</f>
        <v>-409</v>
      </c>
      <c r="G73" s="2">
        <f>SUM(G70:G72)</f>
        <v>-5268</v>
      </c>
    </row>
    <row r="75" spans="2:26" x14ac:dyDescent="0.2">
      <c r="B75" s="23" t="s">
        <v>112</v>
      </c>
      <c r="G75" s="2">
        <f>370-1532</f>
        <v>-1162</v>
      </c>
    </row>
    <row r="76" spans="2:26" x14ac:dyDescent="0.2">
      <c r="B76" s="23" t="s">
        <v>110</v>
      </c>
      <c r="G76" s="2">
        <v>-14095</v>
      </c>
    </row>
    <row r="77" spans="2:26" x14ac:dyDescent="0.2">
      <c r="B77" s="23" t="s">
        <v>111</v>
      </c>
      <c r="G77" s="2">
        <v>-244</v>
      </c>
    </row>
    <row r="78" spans="2:26" x14ac:dyDescent="0.2">
      <c r="B78" s="23" t="s">
        <v>12</v>
      </c>
      <c r="G78" s="2">
        <v>-52</v>
      </c>
    </row>
    <row r="79" spans="2:26" x14ac:dyDescent="0.2">
      <c r="B79" s="23" t="s">
        <v>106</v>
      </c>
      <c r="G79" s="2">
        <f>SUM(G75:G78)</f>
        <v>-15553</v>
      </c>
    </row>
    <row r="80" spans="2:26" x14ac:dyDescent="0.2">
      <c r="B80" s="23" t="s">
        <v>107</v>
      </c>
    </row>
    <row r="81" spans="1:129" x14ac:dyDescent="0.2">
      <c r="B81" s="23" t="s">
        <v>108</v>
      </c>
      <c r="C81" s="2">
        <f>C68+C79+C73</f>
        <v>14472</v>
      </c>
      <c r="G81" s="2">
        <f>G68+G79+G73</f>
        <v>6593</v>
      </c>
    </row>
    <row r="83" spans="1:129" s="4" customFormat="1" x14ac:dyDescent="0.2">
      <c r="A83" s="2"/>
      <c r="B83" s="4" t="s">
        <v>43</v>
      </c>
      <c r="C83" s="4">
        <f>C68+C70</f>
        <v>14472</v>
      </c>
      <c r="G83" s="4">
        <f>G68+G70</f>
        <v>26135</v>
      </c>
      <c r="Q83" s="4">
        <v>4667</v>
      </c>
      <c r="R83" s="4">
        <v>8049</v>
      </c>
      <c r="S83" s="4">
        <v>3750</v>
      </c>
      <c r="T83" s="4">
        <f>T68+T70</f>
        <v>27021</v>
      </c>
      <c r="U83" s="4">
        <f>U68+U70</f>
        <v>60853</v>
      </c>
      <c r="V83" s="4">
        <f>V68+V70</f>
        <v>112237.88970633197</v>
      </c>
      <c r="W83" s="4">
        <f>W68+W70</f>
        <v>167592.22912768423</v>
      </c>
      <c r="X83" s="4">
        <f>X68+X70</f>
        <v>243274.58954625452</v>
      </c>
      <c r="Y83" s="4">
        <f>Y68+Y70</f>
        <v>352903.87816611811</v>
      </c>
      <c r="Z83" s="4">
        <f>Z68+Z70</f>
        <v>511572.91908017546</v>
      </c>
      <c r="AA83" s="4">
        <f t="shared" ref="AA83:BF83" si="51">Z83*(1+$AC$23)</f>
        <v>516688.6482709772</v>
      </c>
      <c r="AB83" s="4">
        <f t="shared" si="51"/>
        <v>521855.53475368698</v>
      </c>
      <c r="AC83" s="4">
        <f t="shared" si="51"/>
        <v>527074.0901012239</v>
      </c>
      <c r="AD83" s="4">
        <f t="shared" si="51"/>
        <v>532344.83100223611</v>
      </c>
      <c r="AE83" s="4">
        <f t="shared" si="51"/>
        <v>537668.27931225847</v>
      </c>
      <c r="AF83" s="4">
        <f t="shared" si="51"/>
        <v>543044.96210538107</v>
      </c>
      <c r="AG83" s="4">
        <f t="shared" si="51"/>
        <v>548475.41172643483</v>
      </c>
      <c r="AH83" s="4">
        <f t="shared" si="51"/>
        <v>553960.16584369913</v>
      </c>
      <c r="AI83" s="4">
        <f t="shared" si="51"/>
        <v>559499.76750213618</v>
      </c>
      <c r="AJ83" s="4">
        <f t="shared" si="51"/>
        <v>565094.76517715759</v>
      </c>
      <c r="AK83" s="4">
        <f t="shared" si="51"/>
        <v>570745.71282892919</v>
      </c>
      <c r="AL83" s="4">
        <f t="shared" si="51"/>
        <v>576453.16995721846</v>
      </c>
      <c r="AM83" s="4">
        <f t="shared" si="51"/>
        <v>582217.70165679068</v>
      </c>
      <c r="AN83" s="4">
        <f t="shared" si="51"/>
        <v>588039.87867335859</v>
      </c>
      <c r="AO83" s="4">
        <f t="shared" si="51"/>
        <v>593920.27746009221</v>
      </c>
      <c r="AP83" s="4">
        <f t="shared" si="51"/>
        <v>599859.48023469315</v>
      </c>
      <c r="AQ83" s="4">
        <f t="shared" si="51"/>
        <v>605858.07503704005</v>
      </c>
      <c r="AR83" s="4">
        <f t="shared" si="51"/>
        <v>611916.65578741045</v>
      </c>
      <c r="AS83" s="4">
        <f t="shared" si="51"/>
        <v>618035.82234528451</v>
      </c>
      <c r="AT83" s="4">
        <f t="shared" si="51"/>
        <v>624216.18056873733</v>
      </c>
      <c r="AU83" s="4">
        <f t="shared" si="51"/>
        <v>630458.34237442468</v>
      </c>
      <c r="AV83" s="4">
        <f t="shared" si="51"/>
        <v>636762.92579816899</v>
      </c>
      <c r="AW83" s="4">
        <f t="shared" si="51"/>
        <v>643130.55505615065</v>
      </c>
      <c r="AX83" s="4">
        <f t="shared" si="51"/>
        <v>649561.86060671217</v>
      </c>
      <c r="AY83" s="4">
        <f t="shared" si="51"/>
        <v>656057.47921277932</v>
      </c>
      <c r="AZ83" s="4">
        <f t="shared" si="51"/>
        <v>662618.05400490714</v>
      </c>
      <c r="BA83" s="4">
        <f t="shared" si="51"/>
        <v>669244.23454495624</v>
      </c>
      <c r="BB83" s="4">
        <f t="shared" si="51"/>
        <v>675936.67689040583</v>
      </c>
      <c r="BC83" s="4">
        <f t="shared" si="51"/>
        <v>682696.04365930986</v>
      </c>
      <c r="BD83" s="4">
        <f t="shared" si="51"/>
        <v>689523.00409590302</v>
      </c>
      <c r="BE83" s="4">
        <f t="shared" si="51"/>
        <v>696418.2341368621</v>
      </c>
      <c r="BF83" s="4">
        <f t="shared" si="51"/>
        <v>703382.41647823073</v>
      </c>
      <c r="BG83" s="4">
        <f t="shared" ref="BG83:CL83" si="52">BF83*(1+$AC$23)</f>
        <v>710416.24064301304</v>
      </c>
      <c r="BH83" s="4">
        <f t="shared" si="52"/>
        <v>717520.40304944315</v>
      </c>
      <c r="BI83" s="4">
        <f t="shared" si="52"/>
        <v>724695.60707993759</v>
      </c>
      <c r="BJ83" s="4">
        <f t="shared" si="52"/>
        <v>731942.56315073697</v>
      </c>
      <c r="BK83" s="4">
        <f t="shared" si="52"/>
        <v>739261.98878224439</v>
      </c>
      <c r="BL83" s="4">
        <f t="shared" si="52"/>
        <v>746654.60867006681</v>
      </c>
      <c r="BM83" s="4">
        <f t="shared" si="52"/>
        <v>754121.15475676744</v>
      </c>
      <c r="BN83" s="4">
        <f t="shared" si="52"/>
        <v>761662.36630433507</v>
      </c>
      <c r="BO83" s="4">
        <f t="shared" si="52"/>
        <v>769278.98996737844</v>
      </c>
      <c r="BP83" s="4">
        <f t="shared" si="52"/>
        <v>776971.77986705222</v>
      </c>
      <c r="BQ83" s="4">
        <f t="shared" si="52"/>
        <v>784741.49766572274</v>
      </c>
      <c r="BR83" s="4">
        <f t="shared" si="52"/>
        <v>792588.91264237999</v>
      </c>
      <c r="BS83" s="4">
        <f t="shared" si="52"/>
        <v>800514.80176880385</v>
      </c>
      <c r="BT83" s="4">
        <f t="shared" si="52"/>
        <v>808519.94978649192</v>
      </c>
      <c r="BU83" s="4">
        <f t="shared" si="52"/>
        <v>816605.14928435686</v>
      </c>
      <c r="BV83" s="4">
        <f t="shared" si="52"/>
        <v>824771.2007772004</v>
      </c>
      <c r="BW83" s="4">
        <f t="shared" si="52"/>
        <v>833018.91278497246</v>
      </c>
      <c r="BX83" s="4">
        <f t="shared" si="52"/>
        <v>841349.10191282223</v>
      </c>
      <c r="BY83" s="4">
        <f t="shared" si="52"/>
        <v>849762.59293195046</v>
      </c>
      <c r="BZ83" s="4">
        <f t="shared" si="52"/>
        <v>858260.21886127</v>
      </c>
      <c r="CA83" s="4">
        <f t="shared" si="52"/>
        <v>866842.82104988268</v>
      </c>
      <c r="CB83" s="4">
        <f t="shared" si="52"/>
        <v>875511.24926038156</v>
      </c>
      <c r="CC83" s="4">
        <f t="shared" si="52"/>
        <v>884266.36175298539</v>
      </c>
      <c r="CD83" s="4">
        <f t="shared" si="52"/>
        <v>893109.0253705153</v>
      </c>
      <c r="CE83" s="4">
        <f t="shared" si="52"/>
        <v>902040.11562422046</v>
      </c>
      <c r="CF83" s="4">
        <f t="shared" si="52"/>
        <v>911060.5167804627</v>
      </c>
      <c r="CG83" s="4">
        <f t="shared" si="52"/>
        <v>920171.12194826733</v>
      </c>
      <c r="CH83" s="4">
        <f t="shared" si="52"/>
        <v>929372.83316775004</v>
      </c>
      <c r="CI83" s="4">
        <f t="shared" si="52"/>
        <v>938666.56149942754</v>
      </c>
      <c r="CJ83" s="4">
        <f t="shared" si="52"/>
        <v>948053.22711442178</v>
      </c>
      <c r="CK83" s="4">
        <f t="shared" si="52"/>
        <v>957533.75938556599</v>
      </c>
      <c r="CL83" s="4">
        <f t="shared" si="52"/>
        <v>967109.09697942168</v>
      </c>
      <c r="CM83" s="4">
        <f t="shared" ref="CM83:DR83" si="53">CL83*(1+$AC$23)</f>
        <v>976780.18794921588</v>
      </c>
      <c r="CN83" s="4">
        <f t="shared" si="53"/>
        <v>986547.989828708</v>
      </c>
      <c r="CO83" s="4">
        <f t="shared" si="53"/>
        <v>996413.4697269951</v>
      </c>
      <c r="CP83" s="4">
        <f t="shared" si="53"/>
        <v>1006377.6044242651</v>
      </c>
      <c r="CQ83" s="4">
        <f t="shared" si="53"/>
        <v>1016441.3804685078</v>
      </c>
      <c r="CR83" s="4">
        <f t="shared" si="53"/>
        <v>1026605.7942731929</v>
      </c>
      <c r="CS83" s="4">
        <f t="shared" si="53"/>
        <v>1036871.8522159248</v>
      </c>
      <c r="CT83" s="4">
        <f t="shared" si="53"/>
        <v>1047240.570738084</v>
      </c>
      <c r="CU83" s="4">
        <f t="shared" si="53"/>
        <v>1057712.9764454649</v>
      </c>
      <c r="CV83" s="4">
        <f t="shared" si="53"/>
        <v>1068290.1062099196</v>
      </c>
      <c r="CW83" s="4">
        <f t="shared" si="53"/>
        <v>1078973.0072720188</v>
      </c>
      <c r="CX83" s="4">
        <f t="shared" si="53"/>
        <v>1089762.737344739</v>
      </c>
      <c r="CY83" s="4">
        <f t="shared" si="53"/>
        <v>1100660.3647181864</v>
      </c>
      <c r="CZ83" s="4">
        <f t="shared" si="53"/>
        <v>1111666.9683653682</v>
      </c>
      <c r="DA83" s="4">
        <f t="shared" si="53"/>
        <v>1122783.6380490218</v>
      </c>
      <c r="DB83" s="4">
        <f t="shared" si="53"/>
        <v>1134011.4744295122</v>
      </c>
      <c r="DC83" s="4">
        <f t="shared" si="53"/>
        <v>1145351.5891738073</v>
      </c>
      <c r="DD83" s="4">
        <f t="shared" si="53"/>
        <v>1156805.1050655453</v>
      </c>
      <c r="DE83" s="4">
        <f t="shared" si="53"/>
        <v>1168373.1561162008</v>
      </c>
      <c r="DF83" s="4">
        <f t="shared" si="53"/>
        <v>1180056.8876773629</v>
      </c>
      <c r="DG83" s="4">
        <f t="shared" si="53"/>
        <v>1191857.4565541365</v>
      </c>
      <c r="DH83" s="4">
        <f t="shared" si="53"/>
        <v>1203776.0311196779</v>
      </c>
      <c r="DI83" s="4">
        <f t="shared" si="53"/>
        <v>1215813.7914308747</v>
      </c>
      <c r="DJ83" s="4">
        <f t="shared" si="53"/>
        <v>1227971.9293451835</v>
      </c>
      <c r="DK83" s="4">
        <f t="shared" si="53"/>
        <v>1240251.6486386354</v>
      </c>
      <c r="DL83" s="4">
        <f t="shared" si="53"/>
        <v>1252654.1651250217</v>
      </c>
      <c r="DM83" s="4">
        <f t="shared" si="53"/>
        <v>1265180.706776272</v>
      </c>
      <c r="DN83" s="4">
        <f t="shared" si="53"/>
        <v>1277832.5138440349</v>
      </c>
      <c r="DO83" s="4">
        <f t="shared" si="53"/>
        <v>1290610.8389824752</v>
      </c>
      <c r="DP83" s="4">
        <f t="shared" si="53"/>
        <v>1303516.9473723001</v>
      </c>
      <c r="DQ83" s="4">
        <f t="shared" si="53"/>
        <v>1316552.1168460231</v>
      </c>
      <c r="DR83" s="4">
        <f t="shared" si="53"/>
        <v>1329717.6380144833</v>
      </c>
      <c r="DS83" s="4">
        <f t="shared" ref="DS83:DY83" si="54">DR83*(1+$AC$23)</f>
        <v>1343014.8143946282</v>
      </c>
      <c r="DT83" s="4">
        <f t="shared" si="54"/>
        <v>1356444.9625385744</v>
      </c>
      <c r="DU83" s="4">
        <f t="shared" si="54"/>
        <v>1370009.41216396</v>
      </c>
      <c r="DV83" s="4">
        <f t="shared" si="54"/>
        <v>1383709.5062855997</v>
      </c>
      <c r="DW83" s="4">
        <f t="shared" si="54"/>
        <v>1397546.6013484558</v>
      </c>
      <c r="DX83" s="4">
        <f t="shared" si="54"/>
        <v>1411522.0673619404</v>
      </c>
      <c r="DY83" s="4">
        <f t="shared" si="54"/>
        <v>1425637.2880355597</v>
      </c>
    </row>
  </sheetData>
  <hyperlinks>
    <hyperlink ref="A1" location="Sheet1!A1" display="Main" xr:uid="{B4B00122-8A85-4496-941B-16C16C07E4D3}"/>
  </hyperlink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FE010-09A7-49CF-8E22-77AB92224E7C}">
  <dimension ref="A1:E2"/>
  <sheetViews>
    <sheetView zoomScaleNormal="100" workbookViewId="0">
      <pane ySplit="2" topLeftCell="A3" activePane="bottomLeft" state="frozen"/>
      <selection pane="bottomLeft" activeCell="D23" sqref="D23"/>
    </sheetView>
  </sheetViews>
  <sheetFormatPr defaultRowHeight="12.75" x14ac:dyDescent="0.2"/>
  <cols>
    <col min="1" max="1" width="5" style="13" bestFit="1" customWidth="1"/>
    <col min="2" max="16384" width="9.140625" style="13"/>
  </cols>
  <sheetData>
    <row r="1" spans="1:5" x14ac:dyDescent="0.2">
      <c r="A1" s="14" t="s">
        <v>35</v>
      </c>
    </row>
    <row r="2" spans="1:5" x14ac:dyDescent="0.2">
      <c r="B2" s="13" t="s">
        <v>77</v>
      </c>
      <c r="C2" s="13" t="s">
        <v>78</v>
      </c>
      <c r="D2" s="13" t="s">
        <v>79</v>
      </c>
      <c r="E2" s="13" t="s">
        <v>80</v>
      </c>
    </row>
  </sheetData>
  <hyperlinks>
    <hyperlink ref="A1" location="Main!A1" display="Main" xr:uid="{4A696BB3-0AB0-4B53-8219-D606EFC1494A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Literature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2025-04-07T17:41:16Z</dcterms:created>
  <dcterms:modified xsi:type="dcterms:W3CDTF">2025-08-13T22:32:29Z</dcterms:modified>
</cp:coreProperties>
</file>