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4517713-B927-4A1B-AECE-C4B1BF5219EB}" xr6:coauthVersionLast="47" xr6:coauthVersionMax="47" xr10:uidLastSave="{00000000-0000-0000-0000-000000000000}"/>
  <bookViews>
    <workbookView xWindow="2445" yWindow="915" windowWidth="19155" windowHeight="14565" xr2:uid="{0BF9FC95-3D90-473A-9309-85A16F5C70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2" l="1"/>
  <c r="P78" i="2"/>
  <c r="P76" i="2"/>
  <c r="P74" i="2"/>
  <c r="P73" i="2"/>
  <c r="P71" i="2"/>
  <c r="P66" i="2"/>
  <c r="P62" i="2"/>
  <c r="P53" i="2" l="1"/>
  <c r="P60" i="2" s="1"/>
  <c r="H3" i="2"/>
  <c r="I3" i="2" s="1"/>
  <c r="H4" i="2"/>
  <c r="I4" i="2" s="1"/>
  <c r="J4" i="2" s="1"/>
  <c r="H5" i="2"/>
  <c r="I5" i="2" s="1"/>
  <c r="J5" i="2" s="1"/>
  <c r="H6" i="2"/>
  <c r="I6" i="2" s="1"/>
  <c r="J6" i="2" s="1"/>
  <c r="J3" i="2" l="1"/>
  <c r="G42" i="2"/>
  <c r="G39" i="2"/>
  <c r="G43" i="2" s="1"/>
  <c r="H35" i="2"/>
  <c r="I35" i="2"/>
  <c r="J35" i="2"/>
  <c r="G26" i="2" l="1"/>
  <c r="K5" i="1"/>
  <c r="G35" i="2" l="1"/>
  <c r="G44" i="2" s="1"/>
  <c r="G45" i="2" s="1"/>
  <c r="G25" i="2"/>
  <c r="K6" i="1"/>
  <c r="H14" i="2" l="1"/>
  <c r="M7" i="2"/>
  <c r="N7" i="2"/>
  <c r="O7" i="2"/>
  <c r="P7" i="2"/>
  <c r="P21" i="2" s="1"/>
  <c r="M12" i="2"/>
  <c r="N12" i="2"/>
  <c r="O12" i="2"/>
  <c r="O13" i="2" s="1"/>
  <c r="O15" i="2" s="1"/>
  <c r="O17" i="2" s="1"/>
  <c r="P12" i="2"/>
  <c r="P13" i="2" s="1"/>
  <c r="P15" i="2" s="1"/>
  <c r="P17" i="2" s="1"/>
  <c r="L12" i="2"/>
  <c r="L7" i="2"/>
  <c r="H18" i="2"/>
  <c r="I18" i="2" s="1"/>
  <c r="J18" i="2" s="1"/>
  <c r="Q18" i="2" s="1"/>
  <c r="R18" i="2" s="1"/>
  <c r="S18" i="2" s="1"/>
  <c r="T18" i="2" s="1"/>
  <c r="U18" i="2" s="1"/>
  <c r="D7" i="2"/>
  <c r="E7" i="2"/>
  <c r="F7" i="2"/>
  <c r="G7" i="2"/>
  <c r="G46" i="2" s="1"/>
  <c r="D12" i="2"/>
  <c r="E12" i="2"/>
  <c r="F12" i="2"/>
  <c r="G12" i="2"/>
  <c r="C12" i="2"/>
  <c r="C7" i="2"/>
  <c r="K4" i="1"/>
  <c r="K7" i="1" s="1"/>
  <c r="K3" i="1"/>
  <c r="M2" i="2"/>
  <c r="N2" i="2" s="1"/>
  <c r="O2" i="2" s="1"/>
  <c r="P2" i="2" s="1"/>
  <c r="Q2" i="2" s="1"/>
  <c r="R2" i="2" s="1"/>
  <c r="S2" i="2" s="1"/>
  <c r="T2" i="2" s="1"/>
  <c r="U2" i="2" s="1"/>
  <c r="P19" i="2" l="1"/>
  <c r="P23" i="2"/>
  <c r="P48" i="2"/>
  <c r="O19" i="2"/>
  <c r="O48" i="2"/>
  <c r="O23" i="2"/>
  <c r="L13" i="2"/>
  <c r="L15" i="2" s="1"/>
  <c r="L17" i="2" s="1"/>
  <c r="O21" i="2"/>
  <c r="M21" i="2"/>
  <c r="I7" i="2"/>
  <c r="I21" i="2" s="1"/>
  <c r="Q3" i="2"/>
  <c r="R3" i="2" s="1"/>
  <c r="Q5" i="2"/>
  <c r="Q6" i="2"/>
  <c r="R6" i="2" s="1"/>
  <c r="S6" i="2" s="1"/>
  <c r="T6" i="2" s="1"/>
  <c r="U6" i="2" s="1"/>
  <c r="H7" i="2"/>
  <c r="H12" i="2" s="1"/>
  <c r="H13" i="2" s="1"/>
  <c r="H15" i="2" s="1"/>
  <c r="H16" i="2" s="1"/>
  <c r="N21" i="2"/>
  <c r="P22" i="2"/>
  <c r="N13" i="2"/>
  <c r="M13" i="2"/>
  <c r="O22" i="2"/>
  <c r="Q4" i="2"/>
  <c r="R4" i="2" s="1"/>
  <c r="S4" i="2" s="1"/>
  <c r="T4" i="2" s="1"/>
  <c r="U4" i="2" s="1"/>
  <c r="E13" i="2"/>
  <c r="E15" i="2" s="1"/>
  <c r="E17" i="2" s="1"/>
  <c r="D13" i="2"/>
  <c r="D22" i="2" s="1"/>
  <c r="F13" i="2"/>
  <c r="F15" i="2" s="1"/>
  <c r="F17" i="2" s="1"/>
  <c r="D15" i="2"/>
  <c r="D17" i="2" s="1"/>
  <c r="G13" i="2"/>
  <c r="C13" i="2"/>
  <c r="G21" i="2"/>
  <c r="D19" i="2" l="1"/>
  <c r="D23" i="2"/>
  <c r="F19" i="2"/>
  <c r="F23" i="2"/>
  <c r="L19" i="2"/>
  <c r="L23" i="2"/>
  <c r="L48" i="2"/>
  <c r="E19" i="2"/>
  <c r="E23" i="2"/>
  <c r="L22" i="2"/>
  <c r="I12" i="2"/>
  <c r="I13" i="2" s="1"/>
  <c r="J7" i="2"/>
  <c r="J12" i="2" s="1"/>
  <c r="H21" i="2"/>
  <c r="R5" i="2"/>
  <c r="S5" i="2" s="1"/>
  <c r="T5" i="2" s="1"/>
  <c r="U5" i="2" s="1"/>
  <c r="Q7" i="2"/>
  <c r="N15" i="2"/>
  <c r="N17" i="2" s="1"/>
  <c r="N22" i="2"/>
  <c r="M15" i="2"/>
  <c r="M17" i="2" s="1"/>
  <c r="M22" i="2"/>
  <c r="S3" i="2"/>
  <c r="H17" i="2"/>
  <c r="H23" i="2" s="1"/>
  <c r="E22" i="2"/>
  <c r="F22" i="2"/>
  <c r="C15" i="2"/>
  <c r="C17" i="2" s="1"/>
  <c r="C22" i="2"/>
  <c r="G15" i="2"/>
  <c r="G17" i="2" s="1"/>
  <c r="G22" i="2"/>
  <c r="J21" i="2" l="1"/>
  <c r="R7" i="2"/>
  <c r="R21" i="2" s="1"/>
  <c r="G19" i="2"/>
  <c r="G23" i="2"/>
  <c r="G48" i="2"/>
  <c r="C19" i="2"/>
  <c r="C23" i="2"/>
  <c r="M19" i="2"/>
  <c r="M23" i="2"/>
  <c r="M48" i="2"/>
  <c r="N19" i="2"/>
  <c r="N23" i="2"/>
  <c r="N48" i="2"/>
  <c r="J13" i="2"/>
  <c r="Q12" i="2"/>
  <c r="Q13" i="2" s="1"/>
  <c r="R12" i="2"/>
  <c r="R13" i="2" s="1"/>
  <c r="T3" i="2"/>
  <c r="S7" i="2"/>
  <c r="Q21" i="2"/>
  <c r="H19" i="2"/>
  <c r="H25" i="2"/>
  <c r="Q22" i="2" l="1"/>
  <c r="S12" i="2"/>
  <c r="S13" i="2" s="1"/>
  <c r="S21" i="2"/>
  <c r="U3" i="2"/>
  <c r="U7" i="2" s="1"/>
  <c r="T7" i="2"/>
  <c r="I14" i="2"/>
  <c r="I15" i="2" s="1"/>
  <c r="I16" i="2" s="1"/>
  <c r="T21" i="2" l="1"/>
  <c r="T12" i="2"/>
  <c r="T13" i="2" s="1"/>
  <c r="U12" i="2"/>
  <c r="U13" i="2" s="1"/>
  <c r="U21" i="2"/>
  <c r="I17" i="2"/>
  <c r="I23" i="2" s="1"/>
  <c r="I19" i="2" l="1"/>
  <c r="I25" i="2"/>
  <c r="J14" i="2" l="1"/>
  <c r="Q14" i="2" l="1"/>
  <c r="Q15" i="2" s="1"/>
  <c r="J15" i="2"/>
  <c r="J16" i="2" s="1"/>
  <c r="Q16" i="2" l="1"/>
  <c r="Q17" i="2" s="1"/>
  <c r="Q48" i="2" s="1"/>
  <c r="J17" i="2"/>
  <c r="J23" i="2" s="1"/>
  <c r="Q19" i="2" l="1"/>
  <c r="Q23" i="2"/>
  <c r="J19" i="2"/>
  <c r="J25" i="2"/>
  <c r="Q25" i="2" s="1"/>
  <c r="R14" i="2" l="1"/>
  <c r="R15" i="2" l="1"/>
  <c r="R16" i="2" l="1"/>
  <c r="R17" i="2" s="1"/>
  <c r="R48" i="2" s="1"/>
  <c r="R23" i="2" l="1"/>
  <c r="R25" i="2"/>
  <c r="S14" i="2" s="1"/>
  <c r="S15" i="2" s="1"/>
  <c r="R19" i="2"/>
  <c r="S16" i="2" l="1"/>
  <c r="S17" i="2" s="1"/>
  <c r="S48" i="2" s="1"/>
  <c r="S23" i="2" l="1"/>
  <c r="S19" i="2"/>
  <c r="S25" i="2"/>
  <c r="T14" i="2" s="1"/>
  <c r="T15" i="2" s="1"/>
  <c r="T16" i="2" s="1"/>
  <c r="T17" i="2" s="1"/>
  <c r="T23" i="2" l="1"/>
  <c r="T48" i="2"/>
  <c r="T25" i="2"/>
  <c r="U14" i="2" s="1"/>
  <c r="U15" i="2" s="1"/>
  <c r="U16" i="2" s="1"/>
  <c r="T19" i="2"/>
  <c r="U17" i="2" l="1"/>
  <c r="U48" i="2" s="1"/>
  <c r="V17" i="2" l="1"/>
  <c r="W17" i="2" s="1"/>
  <c r="X17" i="2" s="1"/>
  <c r="Y17" i="2" s="1"/>
  <c r="Z17" i="2" s="1"/>
  <c r="U23" i="2"/>
  <c r="U25" i="2"/>
  <c r="U19" i="2"/>
  <c r="AA17" i="2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X22" i="2" l="1"/>
  <c r="X23" i="2" s="1"/>
</calcChain>
</file>

<file path=xl/sharedStrings.xml><?xml version="1.0" encoding="utf-8"?>
<sst xmlns="http://schemas.openxmlformats.org/spreadsheetml/2006/main" count="93" uniqueCount="77">
  <si>
    <t>Price</t>
  </si>
  <si>
    <t>Shares</t>
  </si>
  <si>
    <t>MC</t>
  </si>
  <si>
    <t>Cash</t>
  </si>
  <si>
    <t>Debt</t>
  </si>
  <si>
    <t>EV</t>
  </si>
  <si>
    <t>Q325</t>
  </si>
  <si>
    <t>Q125</t>
  </si>
  <si>
    <t>Main</t>
  </si>
  <si>
    <t>Revenue</t>
  </si>
  <si>
    <t>Q124</t>
  </si>
  <si>
    <t>Q224</t>
  </si>
  <si>
    <t>Q324</t>
  </si>
  <si>
    <t>Q424</t>
  </si>
  <si>
    <t>Q225</t>
  </si>
  <si>
    <t>Q425</t>
  </si>
  <si>
    <t>Premiums</t>
  </si>
  <si>
    <t>Products</t>
  </si>
  <si>
    <t>Services</t>
  </si>
  <si>
    <t>Other</t>
  </si>
  <si>
    <t>Medical Costs</t>
  </si>
  <si>
    <t>Operating Costs</t>
  </si>
  <si>
    <t>COGS</t>
  </si>
  <si>
    <t>D&amp;A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</si>
  <si>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</si>
  <si>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</si>
  <si>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</si>
  <si>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</si>
  <si>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</si>
  <si>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</si>
  <si>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</si>
  <si>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</si>
  <si>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Operating Margin</t>
  </si>
  <si>
    <t>Net Cash</t>
  </si>
  <si>
    <t>ROIC</t>
  </si>
  <si>
    <t>Maturity</t>
  </si>
  <si>
    <t>Discount</t>
  </si>
  <si>
    <t>NPV</t>
  </si>
  <si>
    <t>Share</t>
  </si>
  <si>
    <t>AR</t>
  </si>
  <si>
    <t>Other Receivables</t>
  </si>
  <si>
    <t>Prepaids</t>
  </si>
  <si>
    <t>LT Investments</t>
  </si>
  <si>
    <t>PP&amp;E</t>
  </si>
  <si>
    <t>GW</t>
  </si>
  <si>
    <t>Other Assets</t>
  </si>
  <si>
    <t>Assets</t>
  </si>
  <si>
    <t>OIA</t>
  </si>
  <si>
    <t>OA</t>
  </si>
  <si>
    <t>Medical Costs Payable</t>
  </si>
  <si>
    <t>AP</t>
  </si>
  <si>
    <t>Unearned Revenue</t>
  </si>
  <si>
    <t>OL</t>
  </si>
  <si>
    <t>DT</t>
  </si>
  <si>
    <t>Liabilities</t>
  </si>
  <si>
    <t>SE</t>
  </si>
  <si>
    <t>L+SE</t>
  </si>
  <si>
    <t>DSO</t>
  </si>
  <si>
    <t>Model NI</t>
  </si>
  <si>
    <t>Reported NI</t>
  </si>
  <si>
    <t>SBC</t>
  </si>
  <si>
    <t>CFFO</t>
  </si>
  <si>
    <t>CFFF</t>
  </si>
  <si>
    <t>WC</t>
  </si>
  <si>
    <t>FX</t>
  </si>
  <si>
    <t>CIC</t>
  </si>
  <si>
    <t>FCF</t>
  </si>
  <si>
    <t>CFFI</t>
  </si>
  <si>
    <t>What will the margins look like in the future?</t>
  </si>
  <si>
    <t>Net Margin</t>
  </si>
  <si>
    <t>Investments</t>
  </si>
  <si>
    <t>Acquisitions</t>
  </si>
  <si>
    <t>CapEx</t>
  </si>
  <si>
    <t>Buybacks</t>
  </si>
  <si>
    <t>Dividends</t>
  </si>
  <si>
    <t>Stock Issuance</t>
  </si>
  <si>
    <t>Customer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</si>
</sst>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2" fillId="0" borderId="0" xfId="1" applyNumberFormat="1"/>
    <xf numFmtId="1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0</xdr:row>
      <xdr:rowOff>124558</xdr:rowOff>
    </xdr:from>
    <xdr:to>
      <xdr:col>7</xdr:col>
      <xdr:colOff>29308</xdr:colOff>
      <xdr:row>36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DD3F4B-8E40-9BF9-463B-17B9F0B02CAF}"/>
            </a:ext>
          </a:extLst>
        </xdr:cNvPr>
        <xdr:cNvCxnSpPr/>
      </xdr:nvCxnSpPr>
      <xdr:spPr>
        <a:xfrm>
          <a:off x="3971192" y="124558"/>
          <a:ext cx="43962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586154</xdr:colOff>
      <xdr:row>0</xdr:row>
      <xdr:rowOff>51289</xdr:rowOff>
    </xdr:from>
    <xdr:to>
      <xdr:col>16</xdr:col>
      <xdr:colOff>21983</xdr:colOff>
      <xdr:row>36</xdr:row>
      <xdr:rowOff>21981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EF26422-AB3F-4D9C-AEBC-B7B4E3A24B5D}"/>
            </a:ext>
          </a:extLst>
        </xdr:cNvPr>
        <xdr:cNvCxnSpPr/>
      </xdr:nvCxnSpPr>
      <xdr:spPr>
        <a:xfrm>
          <a:off x="10037885" y="51289"/>
          <a:ext cx="43963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B57B-3503-451A-B43C-2FCC25D6660C}">
  <dimension ref="G2:L9"/>
  <sheetViews>
    <sheetView tabSelected="1" zoomScaleNormal="100" workbookViewId="0">
      <selection activeCell="K2" sqref="K2"/>
    </sheetView>
  </sheetViews>
  <sheetFormatPr defaultRowHeight="12.75" x14ac:dyDescent="0.2"/>
  <sheetData>
    <row r="2" spans="7:12" x14ac:dyDescent="0.2">
      <c r="J2" t="s">
        <v>0</v>
      </c>
      <c r="K2" s="1">
        <v>251</v>
      </c>
    </row>
    <row r="3" spans="7:12" x14ac:dyDescent="0.2">
      <c r="J3" t="s">
        <v>1</v>
      </c>
      <c r="K3" s="2">
        <f>907.1404</f>
        <v>907.1404</v>
      </c>
      <c r="L3" t="s">
        <v>7</v>
      </c>
    </row>
    <row r="4" spans="7:12" x14ac:dyDescent="0.2">
      <c r="J4" t="s">
        <v>2</v>
      </c>
      <c r="K4" s="2">
        <f>K3*K2</f>
        <v>227692.24040000001</v>
      </c>
    </row>
    <row r="5" spans="7:12" x14ac:dyDescent="0.2">
      <c r="J5" t="s">
        <v>3</v>
      </c>
      <c r="K5" s="2">
        <f>30717+3574+51863</f>
        <v>86154</v>
      </c>
      <c r="L5" t="s">
        <v>7</v>
      </c>
    </row>
    <row r="6" spans="7:12" x14ac:dyDescent="0.2">
      <c r="J6" t="s">
        <v>4</v>
      </c>
      <c r="K6" s="2">
        <f>9986+71285+3902</f>
        <v>85173</v>
      </c>
      <c r="L6" t="s">
        <v>7</v>
      </c>
    </row>
    <row r="7" spans="7:12" x14ac:dyDescent="0.2">
      <c r="J7" t="s">
        <v>5</v>
      </c>
      <c r="K7" s="2">
        <f>K4+K6-K5</f>
        <v>226711.24040000001</v>
      </c>
    </row>
    <row r="8" spans="7:12" x14ac:dyDescent="0.2">
      <c r="H8" s="10"/>
    </row>
    <row r="9" spans="7:12" x14ac:dyDescent="0.2">
      <c r="G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3591-A144-4A95-AE3F-806D25D95AB4}">
  <dimension ref="A1:DT78"/>
  <sheetViews>
    <sheetView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3" sqref="W3"/>
    </sheetView>
  </sheetViews>
  <sheetFormatPr defaultRowHeight="12.75" x14ac:dyDescent="0.2"/>
  <cols>
    <col min="1" max="1" width="5" style="2" bestFit="1" customWidth="1"/>
    <col min="2" max="2" width="20.42578125" style="2" bestFit="1" customWidth="1"/>
    <col min="3" max="23" width="9.140625" style="2"/>
    <col min="24" max="24" width="11.28515625" style="2" bestFit="1" customWidth="1"/>
    <col min="25" max="16384" width="9.140625" style="2"/>
  </cols>
  <sheetData>
    <row r="1" spans="1:24" x14ac:dyDescent="0.2">
      <c r="A1" s="3" t="s">
        <v>8</v>
      </c>
      <c r="D1" s="4">
        <v>45473</v>
      </c>
      <c r="G1" s="4">
        <v>45747</v>
      </c>
      <c r="H1" s="4">
        <v>45838</v>
      </c>
    </row>
    <row r="2" spans="1:24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7</v>
      </c>
      <c r="H2" s="2" t="s">
        <v>14</v>
      </c>
      <c r="I2" s="2" t="s">
        <v>6</v>
      </c>
      <c r="J2" s="2" t="s">
        <v>15</v>
      </c>
      <c r="L2" s="5">
        <v>2020</v>
      </c>
      <c r="M2" s="5">
        <f>L2+1</f>
        <v>2021</v>
      </c>
      <c r="N2" s="5">
        <f t="shared" ref="N2:U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</row>
    <row r="3" spans="1:24" x14ac:dyDescent="0.2">
      <c r="B3" s="2" t="s">
        <v>16</v>
      </c>
      <c r="C3" s="2">
        <v>77988</v>
      </c>
      <c r="G3" s="2">
        <v>86534</v>
      </c>
      <c r="H3" s="2">
        <f>G3*1.01</f>
        <v>87399.34</v>
      </c>
      <c r="I3" s="2">
        <f>H3*1.01</f>
        <v>88273.333400000003</v>
      </c>
      <c r="J3" s="2">
        <f t="shared" ref="J3" si="1">I3*1.02</f>
        <v>90038.800068000011</v>
      </c>
      <c r="Q3" s="2">
        <f>SUM(G3:J3)</f>
        <v>352245.47346799995</v>
      </c>
      <c r="R3" s="2">
        <f>Q3*1.02</f>
        <v>359290.38293735997</v>
      </c>
      <c r="S3" s="2">
        <f t="shared" ref="S3:U3" si="2">R3*1.02</f>
        <v>366476.19059610716</v>
      </c>
      <c r="T3" s="2">
        <f t="shared" si="2"/>
        <v>373805.71440802934</v>
      </c>
      <c r="U3" s="2">
        <f t="shared" si="2"/>
        <v>381281.82869618991</v>
      </c>
    </row>
    <row r="4" spans="1:24" x14ac:dyDescent="0.2">
      <c r="B4" s="2" t="s">
        <v>17</v>
      </c>
      <c r="C4" s="2">
        <v>11909</v>
      </c>
      <c r="G4" s="2">
        <v>13036</v>
      </c>
      <c r="H4" s="2">
        <f t="shared" ref="H4:J6" si="3">G4*1.01</f>
        <v>13166.36</v>
      </c>
      <c r="I4" s="2">
        <f t="shared" si="3"/>
        <v>13298.0236</v>
      </c>
      <c r="J4" s="2">
        <f t="shared" si="3"/>
        <v>13431.003836</v>
      </c>
      <c r="Q4" s="2">
        <f t="shared" ref="Q4:Q6" si="4">SUM(G4:J4)</f>
        <v>52931.387436000005</v>
      </c>
      <c r="R4" s="2">
        <f t="shared" ref="R4:U6" si="5">Q4*1.02</f>
        <v>53990.015184720003</v>
      </c>
      <c r="S4" s="2">
        <f t="shared" si="5"/>
        <v>55069.815488414402</v>
      </c>
      <c r="T4" s="2">
        <f t="shared" si="5"/>
        <v>56171.211798182689</v>
      </c>
      <c r="U4" s="2">
        <f t="shared" si="5"/>
        <v>57294.636034146344</v>
      </c>
    </row>
    <row r="5" spans="1:24" x14ac:dyDescent="0.2">
      <c r="B5" s="2" t="s">
        <v>18</v>
      </c>
      <c r="C5" s="2">
        <v>8888</v>
      </c>
      <c r="G5" s="2">
        <v>8972</v>
      </c>
      <c r="H5" s="2">
        <f t="shared" si="3"/>
        <v>9061.7199999999993</v>
      </c>
      <c r="I5" s="2">
        <f t="shared" si="3"/>
        <v>9152.3371999999999</v>
      </c>
      <c r="J5" s="2">
        <f t="shared" si="3"/>
        <v>9243.8605719999996</v>
      </c>
      <c r="Q5" s="2">
        <f t="shared" si="4"/>
        <v>36429.917772000001</v>
      </c>
      <c r="R5" s="2">
        <f t="shared" si="5"/>
        <v>37158.516127440002</v>
      </c>
      <c r="S5" s="2">
        <f t="shared" si="5"/>
        <v>37901.686449988803</v>
      </c>
      <c r="T5" s="2">
        <f t="shared" si="5"/>
        <v>38659.72017898858</v>
      </c>
      <c r="U5" s="2">
        <f t="shared" si="5"/>
        <v>39432.914582568352</v>
      </c>
    </row>
    <row r="6" spans="1:24" x14ac:dyDescent="0.2">
      <c r="B6" s="2" t="s">
        <v>19</v>
      </c>
      <c r="C6" s="2">
        <v>1011</v>
      </c>
      <c r="G6" s="2">
        <v>1033</v>
      </c>
      <c r="H6" s="2">
        <f t="shared" si="3"/>
        <v>1043.33</v>
      </c>
      <c r="I6" s="2">
        <f t="shared" si="3"/>
        <v>1053.7632999999998</v>
      </c>
      <c r="J6" s="2">
        <f t="shared" si="3"/>
        <v>1064.3009329999998</v>
      </c>
      <c r="Q6" s="2">
        <f t="shared" si="4"/>
        <v>4194.3942329999991</v>
      </c>
      <c r="R6" s="2">
        <f t="shared" si="5"/>
        <v>4278.2821176599991</v>
      </c>
      <c r="S6" s="2">
        <f t="shared" si="5"/>
        <v>4363.8477600131991</v>
      </c>
      <c r="T6" s="2">
        <f t="shared" si="5"/>
        <v>4451.1247152134629</v>
      </c>
      <c r="U6" s="2">
        <f t="shared" si="5"/>
        <v>4540.1472095177323</v>
      </c>
    </row>
    <row r="7" spans="1:24" s="6" customFormat="1" x14ac:dyDescent="0.2">
      <c r="A7" s="2"/>
      <c r="B7" s="6" t="s">
        <v>9</v>
      </c>
      <c r="C7" s="6">
        <f>SUM(C3:C6)</f>
        <v>99796</v>
      </c>
      <c r="D7" s="6">
        <f t="shared" ref="D7:L7" si="6">SUM(D3:D6)</f>
        <v>0</v>
      </c>
      <c r="E7" s="6">
        <f t="shared" si="6"/>
        <v>0</v>
      </c>
      <c r="F7" s="6">
        <f t="shared" si="6"/>
        <v>0</v>
      </c>
      <c r="G7" s="6">
        <f t="shared" si="6"/>
        <v>109575</v>
      </c>
      <c r="H7" s="6">
        <f t="shared" si="6"/>
        <v>110670.75</v>
      </c>
      <c r="I7" s="6">
        <f t="shared" si="6"/>
        <v>111777.4575</v>
      </c>
      <c r="J7" s="6">
        <f t="shared" si="6"/>
        <v>113777.96540900003</v>
      </c>
      <c r="L7" s="6">
        <f t="shared" si="6"/>
        <v>0</v>
      </c>
      <c r="M7" s="6">
        <f t="shared" ref="M7" si="7">SUM(M3:M6)</f>
        <v>0</v>
      </c>
      <c r="N7" s="6">
        <f t="shared" ref="N7" si="8">SUM(N3:N6)</f>
        <v>0</v>
      </c>
      <c r="O7" s="6">
        <f t="shared" ref="O7" si="9">SUM(O3:O6)</f>
        <v>0</v>
      </c>
      <c r="P7" s="6">
        <f t="shared" ref="P7" si="10">SUM(P3:P6)</f>
        <v>0</v>
      </c>
      <c r="Q7" s="6">
        <f t="shared" ref="Q7" si="11">SUM(Q3:Q6)</f>
        <v>445801.17290899996</v>
      </c>
      <c r="R7" s="6">
        <f t="shared" ref="R7" si="12">SUM(R3:R6)</f>
        <v>454717.19636717992</v>
      </c>
      <c r="S7" s="6">
        <f t="shared" ref="S7" si="13">SUM(S3:S6)</f>
        <v>463811.54029452353</v>
      </c>
      <c r="T7" s="6">
        <f t="shared" ref="T7" si="14">SUM(T3:T6)</f>
        <v>473087.7711004141</v>
      </c>
      <c r="U7" s="6">
        <f t="shared" ref="U7" si="15">SUM(U3:U6)</f>
        <v>482549.52652242233</v>
      </c>
    </row>
    <row r="8" spans="1:24" x14ac:dyDescent="0.2">
      <c r="B8" s="2" t="s">
        <v>20</v>
      </c>
      <c r="C8" s="2">
        <v>65735</v>
      </c>
      <c r="G8" s="2">
        <v>73411</v>
      </c>
    </row>
    <row r="9" spans="1:24" x14ac:dyDescent="0.2">
      <c r="B9" s="2" t="s">
        <v>21</v>
      </c>
      <c r="C9" s="2">
        <v>14077</v>
      </c>
      <c r="G9" s="2">
        <v>13594</v>
      </c>
    </row>
    <row r="10" spans="1:24" x14ac:dyDescent="0.2">
      <c r="B10" s="2" t="s">
        <v>22</v>
      </c>
      <c r="C10" s="2">
        <v>11056</v>
      </c>
      <c r="G10" s="2">
        <v>12390</v>
      </c>
    </row>
    <row r="11" spans="1:24" x14ac:dyDescent="0.2">
      <c r="B11" s="2" t="s">
        <v>23</v>
      </c>
      <c r="C11" s="2">
        <v>997</v>
      </c>
      <c r="G11" s="2">
        <v>1061</v>
      </c>
    </row>
    <row r="12" spans="1:24" x14ac:dyDescent="0.2">
      <c r="B12" s="2" t="s">
        <v>24</v>
      </c>
      <c r="C12" s="2">
        <f>SUM(C8:C11)</f>
        <v>91865</v>
      </c>
      <c r="D12" s="2">
        <f t="shared" ref="D12:L12" si="16">SUM(D8:D11)</f>
        <v>0</v>
      </c>
      <c r="E12" s="2">
        <f t="shared" si="16"/>
        <v>0</v>
      </c>
      <c r="F12" s="2">
        <f t="shared" si="16"/>
        <v>0</v>
      </c>
      <c r="G12" s="2">
        <f t="shared" si="16"/>
        <v>100456</v>
      </c>
      <c r="H12" s="2">
        <f>H7*(1-H22)</f>
        <v>106243.92</v>
      </c>
      <c r="I12" s="2">
        <f t="shared" ref="I12:J12" si="17">I7*(1-I22)</f>
        <v>107306.35920000001</v>
      </c>
      <c r="J12" s="2">
        <f t="shared" si="17"/>
        <v>109226.84679264002</v>
      </c>
      <c r="L12" s="2">
        <f t="shared" si="16"/>
        <v>0</v>
      </c>
      <c r="M12" s="2">
        <f t="shared" ref="M12" si="18">SUM(M8:M11)</f>
        <v>0</v>
      </c>
      <c r="N12" s="2">
        <f t="shared" ref="N12" si="19">SUM(N8:N11)</f>
        <v>0</v>
      </c>
      <c r="O12" s="2">
        <f t="shared" ref="O12" si="20">SUM(O8:O11)</f>
        <v>0</v>
      </c>
      <c r="P12" s="2">
        <f t="shared" ref="P12" si="21">SUM(P8:P11)</f>
        <v>0</v>
      </c>
      <c r="Q12" s="2">
        <f>SUM(G12:J12)</f>
        <v>423233.12599264004</v>
      </c>
      <c r="R12" s="2">
        <f t="shared" ref="R12:U12" si="22">R7*(1-R22)</f>
        <v>436528.5085124927</v>
      </c>
      <c r="S12" s="2">
        <f t="shared" si="22"/>
        <v>445259.07868274255</v>
      </c>
      <c r="T12" s="2">
        <f t="shared" si="22"/>
        <v>454164.26025639754</v>
      </c>
      <c r="U12" s="2">
        <f t="shared" si="22"/>
        <v>463247.54546152544</v>
      </c>
    </row>
    <row r="13" spans="1:24" x14ac:dyDescent="0.2">
      <c r="B13" s="2" t="s">
        <v>25</v>
      </c>
      <c r="C13" s="2">
        <f>C7-C12</f>
        <v>7931</v>
      </c>
      <c r="D13" s="2">
        <f t="shared" ref="D13:L13" si="23">D7-D12</f>
        <v>0</v>
      </c>
      <c r="E13" s="2">
        <f t="shared" si="23"/>
        <v>0</v>
      </c>
      <c r="F13" s="2">
        <f t="shared" si="23"/>
        <v>0</v>
      </c>
      <c r="G13" s="2">
        <f t="shared" si="23"/>
        <v>9119</v>
      </c>
      <c r="H13" s="2">
        <f t="shared" si="23"/>
        <v>4426.8300000000017</v>
      </c>
      <c r="I13" s="2">
        <f t="shared" si="23"/>
        <v>4471.0982999999978</v>
      </c>
      <c r="J13" s="2">
        <f t="shared" si="23"/>
        <v>4551.1186163600069</v>
      </c>
      <c r="L13" s="2">
        <f t="shared" si="23"/>
        <v>0</v>
      </c>
      <c r="M13" s="2">
        <f t="shared" ref="M13" si="24">M7-M12</f>
        <v>0</v>
      </c>
      <c r="N13" s="2">
        <f t="shared" ref="N13" si="25">N7-N12</f>
        <v>0</v>
      </c>
      <c r="O13" s="2">
        <f t="shared" ref="O13" si="26">O7-O12</f>
        <v>0</v>
      </c>
      <c r="P13" s="2">
        <f t="shared" ref="P13" si="27">P7-P12</f>
        <v>0</v>
      </c>
      <c r="Q13" s="2">
        <f t="shared" ref="Q13" si="28">Q7-Q12</f>
        <v>22568.046916359919</v>
      </c>
      <c r="R13" s="2">
        <f t="shared" ref="R13" si="29">R7-R12</f>
        <v>18188.687854687218</v>
      </c>
      <c r="S13" s="2">
        <f t="shared" ref="S13" si="30">S7-S12</f>
        <v>18552.461611780978</v>
      </c>
      <c r="T13" s="2">
        <f t="shared" ref="T13" si="31">T7-T12</f>
        <v>18923.510844016564</v>
      </c>
      <c r="U13" s="2">
        <f t="shared" ref="U13" si="32">U7-U12</f>
        <v>19301.981060896884</v>
      </c>
      <c r="X13" s="8"/>
    </row>
    <row r="14" spans="1:24" x14ac:dyDescent="0.2">
      <c r="B14" s="2" t="s">
        <v>26</v>
      </c>
      <c r="C14" s="2">
        <v>-844</v>
      </c>
      <c r="G14" s="2">
        <v>-998</v>
      </c>
      <c r="H14" s="2">
        <f>G25*$X$19</f>
        <v>31.740000000000002</v>
      </c>
      <c r="I14" s="2">
        <f>H25*$X$19</f>
        <v>103.96883400000003</v>
      </c>
      <c r="J14" s="2">
        <f>I25*$X$19</f>
        <v>178.08492157079999</v>
      </c>
      <c r="Q14" s="2">
        <f t="shared" ref="Q14:Q16" si="33">SUM(G14:J14)</f>
        <v>-684.20624442919996</v>
      </c>
      <c r="R14" s="2">
        <f>Q25*$X$19</f>
        <v>254.69801888527908</v>
      </c>
      <c r="S14" s="2">
        <f>R25*$X$19</f>
        <v>553.48087003715352</v>
      </c>
      <c r="T14" s="2">
        <f>S25*$X$19</f>
        <v>862.99713824260721</v>
      </c>
      <c r="U14" s="2">
        <f>T25*$X$19</f>
        <v>1183.5385675552059</v>
      </c>
    </row>
    <row r="15" spans="1:24" x14ac:dyDescent="0.2">
      <c r="B15" s="2" t="s">
        <v>27</v>
      </c>
      <c r="C15" s="2">
        <f>C13+C14</f>
        <v>7087</v>
      </c>
      <c r="D15" s="2">
        <f t="shared" ref="D15:L15" si="34">D13+D14</f>
        <v>0</v>
      </c>
      <c r="E15" s="2">
        <f t="shared" si="34"/>
        <v>0</v>
      </c>
      <c r="F15" s="2">
        <f t="shared" si="34"/>
        <v>0</v>
      </c>
      <c r="G15" s="2">
        <f t="shared" si="34"/>
        <v>8121</v>
      </c>
      <c r="H15" s="2">
        <f t="shared" si="34"/>
        <v>4458.5700000000015</v>
      </c>
      <c r="I15" s="2">
        <f t="shared" si="34"/>
        <v>4575.0671339999981</v>
      </c>
      <c r="J15" s="2">
        <f t="shared" si="34"/>
        <v>4729.2035379308072</v>
      </c>
      <c r="L15" s="2">
        <f t="shared" si="34"/>
        <v>0</v>
      </c>
      <c r="M15" s="2">
        <f t="shared" ref="M15" si="35">M13+M14</f>
        <v>0</v>
      </c>
      <c r="N15" s="2">
        <f t="shared" ref="N15" si="36">N13+N14</f>
        <v>0</v>
      </c>
      <c r="O15" s="2">
        <f t="shared" ref="O15" si="37">O13+O14</f>
        <v>0</v>
      </c>
      <c r="P15" s="2">
        <f t="shared" ref="P15" si="38">P13+P14</f>
        <v>0</v>
      </c>
      <c r="Q15" s="2">
        <f t="shared" ref="Q15" si="39">Q13+Q14</f>
        <v>21883.84067193072</v>
      </c>
      <c r="R15" s="2">
        <f t="shared" ref="R15" si="40">R13+R14</f>
        <v>18443.385873572497</v>
      </c>
      <c r="S15" s="2">
        <f t="shared" ref="S15" si="41">S13+S14</f>
        <v>19105.942481818132</v>
      </c>
      <c r="T15" s="2">
        <f t="shared" ref="T15" si="42">T13+T14</f>
        <v>19786.507982259172</v>
      </c>
      <c r="U15" s="2">
        <f t="shared" ref="U15" si="43">U13+U14</f>
        <v>20485.51962845209</v>
      </c>
    </row>
    <row r="16" spans="1:24" x14ac:dyDescent="0.2">
      <c r="B16" s="2" t="s">
        <v>28</v>
      </c>
      <c r="C16" s="2">
        <v>1222</v>
      </c>
      <c r="G16" s="2">
        <v>1632</v>
      </c>
      <c r="H16" s="2">
        <f>H15*0.19</f>
        <v>847.12830000000031</v>
      </c>
      <c r="I16" s="2">
        <f t="shared" ref="I16:J16" si="44">I15*0.19</f>
        <v>869.26275545999965</v>
      </c>
      <c r="J16" s="2">
        <f t="shared" si="44"/>
        <v>898.54867220685333</v>
      </c>
      <c r="Q16" s="2">
        <f t="shared" si="33"/>
        <v>4246.9397276668533</v>
      </c>
      <c r="R16" s="2">
        <f>R15*0.19</f>
        <v>3504.2433159787743</v>
      </c>
      <c r="S16" s="2">
        <f t="shared" ref="S16:U16" si="45">S15*0.19</f>
        <v>3630.1290715454452</v>
      </c>
      <c r="T16" s="2">
        <f t="shared" si="45"/>
        <v>3759.4365166292428</v>
      </c>
      <c r="U16" s="2">
        <f t="shared" si="45"/>
        <v>3892.2487294058969</v>
      </c>
    </row>
    <row r="17" spans="1:124" x14ac:dyDescent="0.2">
      <c r="B17" s="2" t="s">
        <v>29</v>
      </c>
      <c r="C17" s="2">
        <f>C15-C16</f>
        <v>5865</v>
      </c>
      <c r="D17" s="2">
        <f t="shared" ref="D17:L17" si="46">D15-D16</f>
        <v>0</v>
      </c>
      <c r="E17" s="2">
        <f t="shared" si="46"/>
        <v>0</v>
      </c>
      <c r="F17" s="2">
        <f t="shared" si="46"/>
        <v>0</v>
      </c>
      <c r="G17" s="2">
        <f t="shared" si="46"/>
        <v>6489</v>
      </c>
      <c r="H17" s="2">
        <f t="shared" si="46"/>
        <v>3611.4417000000012</v>
      </c>
      <c r="I17" s="2">
        <f t="shared" si="46"/>
        <v>3705.8043785399987</v>
      </c>
      <c r="J17" s="2">
        <f t="shared" si="46"/>
        <v>3830.6548657239537</v>
      </c>
      <c r="L17" s="2">
        <f t="shared" si="46"/>
        <v>0</v>
      </c>
      <c r="M17" s="2">
        <f t="shared" ref="M17" si="47">M15-M16</f>
        <v>0</v>
      </c>
      <c r="N17" s="2">
        <f t="shared" ref="N17" si="48">N15-N16</f>
        <v>0</v>
      </c>
      <c r="O17" s="2">
        <f t="shared" ref="O17" si="49">O15-O16</f>
        <v>0</v>
      </c>
      <c r="P17" s="2">
        <f t="shared" ref="P17" si="50">P15-P16</f>
        <v>0</v>
      </c>
      <c r="Q17" s="2">
        <f t="shared" ref="Q17" si="51">Q15-Q16</f>
        <v>17636.900944263867</v>
      </c>
      <c r="R17" s="2">
        <f t="shared" ref="R17" si="52">R15-R16</f>
        <v>14939.142557593723</v>
      </c>
      <c r="S17" s="2">
        <f t="shared" ref="S17" si="53">S15-S16</f>
        <v>15475.813410272687</v>
      </c>
      <c r="T17" s="2">
        <f t="shared" ref="T17" si="54">T15-T16</f>
        <v>16027.07146562993</v>
      </c>
      <c r="U17" s="2">
        <f t="shared" ref="U17" si="55">U15-U16</f>
        <v>16593.270899046194</v>
      </c>
      <c r="V17" s="2">
        <f t="shared" ref="V17:BA17" si="56">U17*(1+$X$20)</f>
        <v>16759.203608036656</v>
      </c>
      <c r="W17" s="2">
        <f t="shared" si="56"/>
        <v>16926.795644117024</v>
      </c>
      <c r="X17" s="2">
        <f t="shared" si="56"/>
        <v>17096.063600558195</v>
      </c>
      <c r="Y17" s="2">
        <f t="shared" si="56"/>
        <v>17267.024236563775</v>
      </c>
      <c r="Z17" s="2">
        <f t="shared" si="56"/>
        <v>17439.694478929414</v>
      </c>
      <c r="AA17" s="2">
        <f t="shared" si="56"/>
        <v>17614.09142371871</v>
      </c>
      <c r="AB17" s="2">
        <f t="shared" si="56"/>
        <v>17790.232337955898</v>
      </c>
      <c r="AC17" s="2">
        <f t="shared" si="56"/>
        <v>17968.134661335458</v>
      </c>
      <c r="AD17" s="2">
        <f t="shared" si="56"/>
        <v>18147.816007948812</v>
      </c>
      <c r="AE17" s="2">
        <f t="shared" si="56"/>
        <v>18329.2941680283</v>
      </c>
      <c r="AF17" s="2">
        <f t="shared" si="56"/>
        <v>18512.587109708584</v>
      </c>
      <c r="AG17" s="2">
        <f t="shared" si="56"/>
        <v>18697.712980805671</v>
      </c>
      <c r="AH17" s="2">
        <f t="shared" si="56"/>
        <v>18884.690110613727</v>
      </c>
      <c r="AI17" s="2">
        <f t="shared" si="56"/>
        <v>19073.537011719865</v>
      </c>
      <c r="AJ17" s="2">
        <f t="shared" si="56"/>
        <v>19264.272381837065</v>
      </c>
      <c r="AK17" s="2">
        <f t="shared" si="56"/>
        <v>19456.915105655436</v>
      </c>
      <c r="AL17" s="2">
        <f t="shared" si="56"/>
        <v>19651.484256711992</v>
      </c>
      <c r="AM17" s="2">
        <f t="shared" si="56"/>
        <v>19847.999099279114</v>
      </c>
      <c r="AN17" s="2">
        <f t="shared" si="56"/>
        <v>20046.479090271903</v>
      </c>
      <c r="AO17" s="2">
        <f t="shared" si="56"/>
        <v>20246.943881174622</v>
      </c>
      <c r="AP17" s="2">
        <f t="shared" si="56"/>
        <v>20449.413319986368</v>
      </c>
      <c r="AQ17" s="2">
        <f t="shared" si="56"/>
        <v>20653.907453186232</v>
      </c>
      <c r="AR17" s="2">
        <f t="shared" si="56"/>
        <v>20860.446527718093</v>
      </c>
      <c r="AS17" s="2">
        <f t="shared" si="56"/>
        <v>21069.050992995275</v>
      </c>
      <c r="AT17" s="2">
        <f t="shared" si="56"/>
        <v>21279.74150292523</v>
      </c>
      <c r="AU17" s="2">
        <f t="shared" si="56"/>
        <v>21492.538917954484</v>
      </c>
      <c r="AV17" s="2">
        <f t="shared" si="56"/>
        <v>21707.464307134029</v>
      </c>
      <c r="AW17" s="2">
        <f t="shared" si="56"/>
        <v>21924.538950205369</v>
      </c>
      <c r="AX17" s="2">
        <f t="shared" si="56"/>
        <v>22143.784339707425</v>
      </c>
      <c r="AY17" s="2">
        <f t="shared" si="56"/>
        <v>22365.222183104499</v>
      </c>
      <c r="AZ17" s="2">
        <f t="shared" si="56"/>
        <v>22588.874404935545</v>
      </c>
      <c r="BA17" s="2">
        <f t="shared" si="56"/>
        <v>22814.763148984901</v>
      </c>
      <c r="BB17" s="2">
        <f t="shared" ref="BB17:CG17" si="57">BA17*(1+$X$20)</f>
        <v>23042.910780474751</v>
      </c>
      <c r="BC17" s="2">
        <f t="shared" si="57"/>
        <v>23273.339888279497</v>
      </c>
      <c r="BD17" s="2">
        <f t="shared" si="57"/>
        <v>23506.073287162293</v>
      </c>
      <c r="BE17" s="2">
        <f t="shared" si="57"/>
        <v>23741.134020033915</v>
      </c>
      <c r="BF17" s="2">
        <f t="shared" si="57"/>
        <v>23978.545360234253</v>
      </c>
      <c r="BG17" s="2">
        <f t="shared" si="57"/>
        <v>24218.330813836597</v>
      </c>
      <c r="BH17" s="2">
        <f t="shared" si="57"/>
        <v>24460.514121974964</v>
      </c>
      <c r="BI17" s="2">
        <f t="shared" si="57"/>
        <v>24705.119263194712</v>
      </c>
      <c r="BJ17" s="2">
        <f t="shared" si="57"/>
        <v>24952.170455826661</v>
      </c>
      <c r="BK17" s="2">
        <f t="shared" si="57"/>
        <v>25201.69216038493</v>
      </c>
      <c r="BL17" s="2">
        <f t="shared" si="57"/>
        <v>25453.709081988778</v>
      </c>
      <c r="BM17" s="2">
        <f t="shared" si="57"/>
        <v>25708.246172808667</v>
      </c>
      <c r="BN17" s="2">
        <f t="shared" si="57"/>
        <v>25965.328634536756</v>
      </c>
      <c r="BO17" s="2">
        <f t="shared" si="57"/>
        <v>26224.981920882125</v>
      </c>
      <c r="BP17" s="2">
        <f t="shared" si="57"/>
        <v>26487.231740090945</v>
      </c>
      <c r="BQ17" s="2">
        <f t="shared" si="57"/>
        <v>26752.104057491855</v>
      </c>
      <c r="BR17" s="2">
        <f t="shared" si="57"/>
        <v>27019.625098066776</v>
      </c>
      <c r="BS17" s="2">
        <f t="shared" si="57"/>
        <v>27289.821349047445</v>
      </c>
      <c r="BT17" s="2">
        <f t="shared" si="57"/>
        <v>27562.719562537921</v>
      </c>
      <c r="BU17" s="2">
        <f t="shared" si="57"/>
        <v>27838.346758163301</v>
      </c>
      <c r="BV17" s="2">
        <f t="shared" si="57"/>
        <v>28116.730225744934</v>
      </c>
      <c r="BW17" s="2">
        <f t="shared" si="57"/>
        <v>28397.897528002384</v>
      </c>
      <c r="BX17" s="2">
        <f t="shared" si="57"/>
        <v>28681.876503282409</v>
      </c>
      <c r="BY17" s="2">
        <f t="shared" si="57"/>
        <v>28968.695268315234</v>
      </c>
      <c r="BZ17" s="2">
        <f t="shared" si="57"/>
        <v>29258.382220998388</v>
      </c>
      <c r="CA17" s="2">
        <f t="shared" si="57"/>
        <v>29550.966043208373</v>
      </c>
      <c r="CB17" s="2">
        <f t="shared" si="57"/>
        <v>29846.475703640455</v>
      </c>
      <c r="CC17" s="2">
        <f t="shared" si="57"/>
        <v>30144.940460676858</v>
      </c>
      <c r="CD17" s="2">
        <f t="shared" si="57"/>
        <v>30446.389865283629</v>
      </c>
      <c r="CE17" s="2">
        <f t="shared" si="57"/>
        <v>30750.853763936466</v>
      </c>
      <c r="CF17" s="2">
        <f t="shared" si="57"/>
        <v>31058.362301575831</v>
      </c>
      <c r="CG17" s="2">
        <f t="shared" si="57"/>
        <v>31368.94592459159</v>
      </c>
      <c r="CH17" s="2">
        <f t="shared" ref="CH17:DM17" si="58">CG17*(1+$X$20)</f>
        <v>31682.635383837507</v>
      </c>
      <c r="CI17" s="2">
        <f t="shared" si="58"/>
        <v>31999.461737675883</v>
      </c>
      <c r="CJ17" s="2">
        <f t="shared" si="58"/>
        <v>32319.456355052644</v>
      </c>
      <c r="CK17" s="2">
        <f t="shared" si="58"/>
        <v>32642.650918603169</v>
      </c>
      <c r="CL17" s="2">
        <f t="shared" si="58"/>
        <v>32969.077427789198</v>
      </c>
      <c r="CM17" s="2">
        <f t="shared" si="58"/>
        <v>33298.768202067091</v>
      </c>
      <c r="CN17" s="2">
        <f t="shared" si="58"/>
        <v>33631.755884087761</v>
      </c>
      <c r="CO17" s="2">
        <f t="shared" si="58"/>
        <v>33968.073442928639</v>
      </c>
      <c r="CP17" s="2">
        <f t="shared" si="58"/>
        <v>34307.754177357929</v>
      </c>
      <c r="CQ17" s="2">
        <f t="shared" si="58"/>
        <v>34650.831719131507</v>
      </c>
      <c r="CR17" s="2">
        <f t="shared" si="58"/>
        <v>34997.340036322821</v>
      </c>
      <c r="CS17" s="2">
        <f t="shared" si="58"/>
        <v>35347.313436686047</v>
      </c>
      <c r="CT17" s="2">
        <f t="shared" si="58"/>
        <v>35700.786571052908</v>
      </c>
      <c r="CU17" s="2">
        <f t="shared" si="58"/>
        <v>36057.794436763434</v>
      </c>
      <c r="CV17" s="2">
        <f t="shared" si="58"/>
        <v>36418.37238113107</v>
      </c>
      <c r="CW17" s="2">
        <f t="shared" si="58"/>
        <v>36782.556104942378</v>
      </c>
      <c r="CX17" s="2">
        <f t="shared" si="58"/>
        <v>37150.381665991801</v>
      </c>
      <c r="CY17" s="2">
        <f t="shared" si="58"/>
        <v>37521.88548265172</v>
      </c>
      <c r="CZ17" s="2">
        <f t="shared" si="58"/>
        <v>37897.104337478238</v>
      </c>
      <c r="DA17" s="2">
        <f t="shared" si="58"/>
        <v>38276.075380853021</v>
      </c>
      <c r="DB17" s="2">
        <f t="shared" si="58"/>
        <v>38658.836134661549</v>
      </c>
      <c r="DC17" s="2">
        <f t="shared" si="58"/>
        <v>39045.424496008163</v>
      </c>
      <c r="DD17" s="2">
        <f t="shared" si="58"/>
        <v>39435.878740968248</v>
      </c>
      <c r="DE17" s="2">
        <f t="shared" si="58"/>
        <v>39830.237528377933</v>
      </c>
      <c r="DF17" s="2">
        <f t="shared" si="58"/>
        <v>40228.539903661709</v>
      </c>
      <c r="DG17" s="2">
        <f t="shared" si="58"/>
        <v>40630.825302698329</v>
      </c>
      <c r="DH17" s="2">
        <f t="shared" si="58"/>
        <v>41037.133555725311</v>
      </c>
      <c r="DI17" s="2">
        <f t="shared" si="58"/>
        <v>41447.504891282566</v>
      </c>
      <c r="DJ17" s="2">
        <f t="shared" si="58"/>
        <v>41861.979940195393</v>
      </c>
      <c r="DK17" s="2">
        <f t="shared" si="58"/>
        <v>42280.599739597346</v>
      </c>
      <c r="DL17" s="2">
        <f t="shared" si="58"/>
        <v>42703.405736993322</v>
      </c>
      <c r="DM17" s="2">
        <f t="shared" si="58"/>
        <v>43130.439794363258</v>
      </c>
      <c r="DN17" s="2">
        <f t="shared" ref="DN17:DT17" si="59">DM17*(1+$X$20)</f>
        <v>43561.744192306891</v>
      </c>
      <c r="DO17" s="2">
        <f t="shared" si="59"/>
        <v>43997.361634229957</v>
      </c>
      <c r="DP17" s="2">
        <f t="shared" si="59"/>
        <v>44437.335250572258</v>
      </c>
      <c r="DQ17" s="2">
        <f t="shared" si="59"/>
        <v>44881.708603077983</v>
      </c>
      <c r="DR17" s="2">
        <f t="shared" si="59"/>
        <v>45330.525689108763</v>
      </c>
      <c r="DS17" s="2">
        <f t="shared" si="59"/>
        <v>45783.830945999849</v>
      </c>
      <c r="DT17" s="2">
        <f t="shared" si="59"/>
        <v>46241.669255459849</v>
      </c>
    </row>
    <row r="18" spans="1:124" x14ac:dyDescent="0.2">
      <c r="B18" s="2" t="s">
        <v>1</v>
      </c>
      <c r="C18" s="2">
        <v>922</v>
      </c>
      <c r="G18" s="2">
        <v>912</v>
      </c>
      <c r="H18" s="2">
        <f>G18</f>
        <v>912</v>
      </c>
      <c r="I18" s="2">
        <f t="shared" ref="I18:J18" si="60">H18</f>
        <v>912</v>
      </c>
      <c r="J18" s="2">
        <f t="shared" si="60"/>
        <v>912</v>
      </c>
      <c r="Q18" s="2">
        <f>J18</f>
        <v>912</v>
      </c>
      <c r="R18" s="2">
        <f>Q18</f>
        <v>912</v>
      </c>
      <c r="S18" s="2">
        <f t="shared" ref="S18:U18" si="61">R18</f>
        <v>912</v>
      </c>
      <c r="T18" s="2">
        <f t="shared" si="61"/>
        <v>912</v>
      </c>
      <c r="U18" s="2">
        <f t="shared" si="61"/>
        <v>912</v>
      </c>
    </row>
    <row r="19" spans="1:124" x14ac:dyDescent="0.2">
      <c r="B19" s="2" t="s">
        <v>30</v>
      </c>
      <c r="C19" s="1">
        <f>C17/C18</f>
        <v>6.3611713665943599</v>
      </c>
      <c r="D19" s="1" t="e">
        <f t="shared" ref="D19:L19" si="62">D17/D18</f>
        <v>#DIV/0!</v>
      </c>
      <c r="E19" s="1" t="e">
        <f t="shared" si="62"/>
        <v>#DIV/0!</v>
      </c>
      <c r="F19" s="1" t="e">
        <f t="shared" si="62"/>
        <v>#DIV/0!</v>
      </c>
      <c r="G19" s="1">
        <f t="shared" si="62"/>
        <v>7.1151315789473681</v>
      </c>
      <c r="H19" s="1">
        <f t="shared" si="62"/>
        <v>3.9599141447368433</v>
      </c>
      <c r="I19" s="1">
        <f t="shared" si="62"/>
        <v>4.0633819940131568</v>
      </c>
      <c r="J19" s="1">
        <f t="shared" si="62"/>
        <v>4.2002794580306508</v>
      </c>
      <c r="L19" s="1" t="e">
        <f t="shared" si="62"/>
        <v>#DIV/0!</v>
      </c>
      <c r="M19" s="1" t="e">
        <f t="shared" ref="M19" si="63">M17/M18</f>
        <v>#DIV/0!</v>
      </c>
      <c r="N19" s="1" t="e">
        <f t="shared" ref="N19" si="64">N17/N18</f>
        <v>#DIV/0!</v>
      </c>
      <c r="O19" s="1" t="e">
        <f t="shared" ref="O19" si="65">O17/O18</f>
        <v>#DIV/0!</v>
      </c>
      <c r="P19" s="1" t="e">
        <f t="shared" ref="P19" si="66">P17/P18</f>
        <v>#DIV/0!</v>
      </c>
      <c r="Q19" s="1">
        <f t="shared" ref="Q19" si="67">Q17/Q18</f>
        <v>19.338707175727926</v>
      </c>
      <c r="R19" s="1">
        <f t="shared" ref="R19" si="68">R17/R18</f>
        <v>16.380638769291362</v>
      </c>
      <c r="S19" s="1">
        <f t="shared" ref="S19" si="69">S17/S18</f>
        <v>16.969093651614788</v>
      </c>
      <c r="T19" s="1">
        <f t="shared" ref="T19" si="70">T17/T18</f>
        <v>17.573543273717029</v>
      </c>
      <c r="U19" s="1">
        <f t="shared" ref="U19" si="71">U17/U18</f>
        <v>18.194375985796267</v>
      </c>
      <c r="W19" s="2" t="s">
        <v>34</v>
      </c>
      <c r="X19" s="8">
        <v>0.02</v>
      </c>
    </row>
    <row r="20" spans="1:124" x14ac:dyDescent="0.2">
      <c r="W20" s="2" t="s">
        <v>35</v>
      </c>
      <c r="X20" s="8">
        <v>0.01</v>
      </c>
    </row>
    <row r="21" spans="1:124" s="6" customFormat="1" x14ac:dyDescent="0.2">
      <c r="A21" s="2"/>
      <c r="B21" s="6" t="s">
        <v>31</v>
      </c>
      <c r="G21" s="7">
        <f>G7/C7-1</f>
        <v>9.7989899394765212E-2</v>
      </c>
      <c r="H21" s="7" t="e">
        <f t="shared" ref="H21:J21" si="72">H7/D7-1</f>
        <v>#DIV/0!</v>
      </c>
      <c r="I21" s="7" t="e">
        <f t="shared" si="72"/>
        <v>#DIV/0!</v>
      </c>
      <c r="J21" s="7" t="e">
        <f t="shared" si="72"/>
        <v>#DIV/0!</v>
      </c>
      <c r="M21" s="7" t="e">
        <f t="shared" ref="M21:U21" si="73">M7/L7-1</f>
        <v>#DIV/0!</v>
      </c>
      <c r="N21" s="7" t="e">
        <f t="shared" si="73"/>
        <v>#DIV/0!</v>
      </c>
      <c r="O21" s="7" t="e">
        <f t="shared" si="73"/>
        <v>#DIV/0!</v>
      </c>
      <c r="P21" s="7" t="e">
        <f t="shared" si="73"/>
        <v>#DIV/0!</v>
      </c>
      <c r="Q21" s="7" t="e">
        <f t="shared" si="73"/>
        <v>#DIV/0!</v>
      </c>
      <c r="R21" s="7">
        <f t="shared" si="73"/>
        <v>2.0000000000000018E-2</v>
      </c>
      <c r="S21" s="7">
        <f t="shared" si="73"/>
        <v>2.0000000000000018E-2</v>
      </c>
      <c r="T21" s="7">
        <f t="shared" si="73"/>
        <v>2.000000000000024E-2</v>
      </c>
      <c r="U21" s="7">
        <f t="shared" si="73"/>
        <v>1.9999999999999796E-2</v>
      </c>
      <c r="W21" s="2" t="s">
        <v>36</v>
      </c>
      <c r="X21" s="8">
        <v>0.08</v>
      </c>
    </row>
    <row r="22" spans="1:124" x14ac:dyDescent="0.2">
      <c r="B22" s="2" t="s">
        <v>32</v>
      </c>
      <c r="C22" s="9">
        <f>C13/C7</f>
        <v>7.9472123131187622E-2</v>
      </c>
      <c r="D22" s="9" t="e">
        <f t="shared" ref="D22:G22" si="74">D13/D7</f>
        <v>#DIV/0!</v>
      </c>
      <c r="E22" s="9" t="e">
        <f t="shared" si="74"/>
        <v>#DIV/0!</v>
      </c>
      <c r="F22" s="9" t="e">
        <f t="shared" si="74"/>
        <v>#DIV/0!</v>
      </c>
      <c r="G22" s="9">
        <f t="shared" si="74"/>
        <v>8.3221537759525441E-2</v>
      </c>
      <c r="H22" s="9">
        <v>0.04</v>
      </c>
      <c r="I22" s="9">
        <v>0.04</v>
      </c>
      <c r="J22" s="9">
        <v>0.04</v>
      </c>
      <c r="L22" s="9" t="e">
        <f t="shared" ref="L22:Q22" si="75">L13/L7</f>
        <v>#DIV/0!</v>
      </c>
      <c r="M22" s="9" t="e">
        <f t="shared" si="75"/>
        <v>#DIV/0!</v>
      </c>
      <c r="N22" s="9" t="e">
        <f t="shared" si="75"/>
        <v>#DIV/0!</v>
      </c>
      <c r="O22" s="9" t="e">
        <f t="shared" si="75"/>
        <v>#DIV/0!</v>
      </c>
      <c r="P22" s="9" t="e">
        <f t="shared" si="75"/>
        <v>#DIV/0!</v>
      </c>
      <c r="Q22" s="9">
        <f t="shared" si="75"/>
        <v>5.0623570075188355E-2</v>
      </c>
      <c r="R22" s="9">
        <v>0.04</v>
      </c>
      <c r="S22" s="9">
        <v>0.04</v>
      </c>
      <c r="T22" s="9">
        <v>0.04</v>
      </c>
      <c r="U22" s="9">
        <v>0.04</v>
      </c>
      <c r="W22" s="2" t="s">
        <v>37</v>
      </c>
      <c r="X22" s="2">
        <f>NPV(X21,Q17:XFD17)+Main!K5-Main!K6</f>
        <v>228257.50036043517</v>
      </c>
    </row>
    <row r="23" spans="1:124" x14ac:dyDescent="0.2">
      <c r="B23" s="2" t="s">
        <v>69</v>
      </c>
      <c r="C23" s="9">
        <f>C17/C7</f>
        <v>5.8769890576776625E-2</v>
      </c>
      <c r="D23" s="9" t="e">
        <f t="shared" ref="D23:U23" si="76">D17/D7</f>
        <v>#DIV/0!</v>
      </c>
      <c r="E23" s="9" t="e">
        <f t="shared" si="76"/>
        <v>#DIV/0!</v>
      </c>
      <c r="F23" s="9" t="e">
        <f t="shared" si="76"/>
        <v>#DIV/0!</v>
      </c>
      <c r="G23" s="9">
        <f t="shared" si="76"/>
        <v>5.9219712525667351E-2</v>
      </c>
      <c r="H23" s="9">
        <f t="shared" si="76"/>
        <v>3.2632305283916495E-2</v>
      </c>
      <c r="I23" s="9">
        <f t="shared" si="76"/>
        <v>3.3153414484669221E-2</v>
      </c>
      <c r="J23" s="9">
        <f t="shared" si="76"/>
        <v>3.3667809509106784E-2</v>
      </c>
      <c r="L23" s="9" t="e">
        <f t="shared" si="76"/>
        <v>#DIV/0!</v>
      </c>
      <c r="M23" s="9" t="e">
        <f t="shared" si="76"/>
        <v>#DIV/0!</v>
      </c>
      <c r="N23" s="9" t="e">
        <f t="shared" si="76"/>
        <v>#DIV/0!</v>
      </c>
      <c r="O23" s="9" t="e">
        <f t="shared" si="76"/>
        <v>#DIV/0!</v>
      </c>
      <c r="P23" s="9" t="e">
        <f t="shared" si="76"/>
        <v>#DIV/0!</v>
      </c>
      <c r="Q23" s="9">
        <f t="shared" si="76"/>
        <v>3.9562257831618659E-2</v>
      </c>
      <c r="R23" s="9">
        <f t="shared" si="76"/>
        <v>3.2853700447102736E-2</v>
      </c>
      <c r="S23" s="9">
        <f t="shared" si="76"/>
        <v>3.3366598425829244E-2</v>
      </c>
      <c r="T23" s="9">
        <f t="shared" si="76"/>
        <v>3.3877585608164333E-2</v>
      </c>
      <c r="U23" s="9">
        <f t="shared" si="76"/>
        <v>3.4386669112761351E-2</v>
      </c>
      <c r="W23" s="2" t="s">
        <v>38</v>
      </c>
      <c r="X23" s="1">
        <f>X22/Main!K3</f>
        <v>251.62312290405671</v>
      </c>
    </row>
    <row r="24" spans="1:124" x14ac:dyDescent="0.2">
      <c r="X24" s="8">
        <f>X23/Main!K2-1</f>
        <v>2.4825613707439853E-3</v>
      </c>
    </row>
    <row r="25" spans="1:124" x14ac:dyDescent="0.2">
      <c r="B25" s="2" t="s">
        <v>33</v>
      </c>
      <c r="G25" s="2">
        <f>G26+G30-G39-G40</f>
        <v>1587</v>
      </c>
      <c r="H25" s="2">
        <f>G25+H17</f>
        <v>5198.4417000000012</v>
      </c>
      <c r="I25" s="2">
        <f t="shared" ref="I25:J25" si="77">H25+I17</f>
        <v>8904.2460785399999</v>
      </c>
      <c r="J25" s="2">
        <f t="shared" si="77"/>
        <v>12734.900944263954</v>
      </c>
      <c r="Q25" s="2">
        <f>J25</f>
        <v>12734.900944263954</v>
      </c>
      <c r="R25" s="2">
        <f t="shared" ref="R25:U25" si="78">Q25+R17</f>
        <v>27674.043501857675</v>
      </c>
      <c r="S25" s="2">
        <f t="shared" si="78"/>
        <v>43149.856912130359</v>
      </c>
      <c r="T25" s="2">
        <f t="shared" si="78"/>
        <v>59176.92837776029</v>
      </c>
      <c r="U25" s="2">
        <f t="shared" si="78"/>
        <v>75770.199276806481</v>
      </c>
    </row>
    <row r="26" spans="1:124" x14ac:dyDescent="0.2">
      <c r="B26" s="2" t="s">
        <v>3</v>
      </c>
      <c r="G26" s="2">
        <f>30717+3574</f>
        <v>34291</v>
      </c>
    </row>
    <row r="27" spans="1:124" x14ac:dyDescent="0.2">
      <c r="B27" s="2" t="s">
        <v>39</v>
      </c>
      <c r="G27" s="2">
        <v>26936</v>
      </c>
    </row>
    <row r="28" spans="1:124" x14ac:dyDescent="0.2">
      <c r="B28" s="2" t="s">
        <v>40</v>
      </c>
      <c r="G28" s="2">
        <v>26022</v>
      </c>
    </row>
    <row r="29" spans="1:124" x14ac:dyDescent="0.2">
      <c r="B29" s="2" t="s">
        <v>41</v>
      </c>
      <c r="G29" s="2">
        <v>9036</v>
      </c>
    </row>
    <row r="30" spans="1:124" x14ac:dyDescent="0.2">
      <c r="B30" s="2" t="s">
        <v>42</v>
      </c>
      <c r="G30" s="2">
        <v>51863</v>
      </c>
    </row>
    <row r="31" spans="1:124" x14ac:dyDescent="0.2">
      <c r="B31" s="2" t="s">
        <v>43</v>
      </c>
      <c r="G31" s="2">
        <v>10734</v>
      </c>
    </row>
    <row r="32" spans="1:124" x14ac:dyDescent="0.2">
      <c r="B32" s="2" t="s">
        <v>44</v>
      </c>
      <c r="G32" s="2">
        <v>107566</v>
      </c>
    </row>
    <row r="33" spans="2:21" x14ac:dyDescent="0.2">
      <c r="B33" s="2" t="s">
        <v>47</v>
      </c>
      <c r="G33" s="2">
        <v>22947</v>
      </c>
    </row>
    <row r="34" spans="2:21" x14ac:dyDescent="0.2">
      <c r="B34" s="2" t="s">
        <v>45</v>
      </c>
      <c r="G34" s="2">
        <v>20395</v>
      </c>
    </row>
    <row r="35" spans="2:21" x14ac:dyDescent="0.2">
      <c r="B35" s="2" t="s">
        <v>46</v>
      </c>
      <c r="G35" s="2">
        <f>SUM(G26:G34)</f>
        <v>309790</v>
      </c>
      <c r="H35" s="2">
        <f t="shared" ref="H35:J35" si="79">SUM(H26:H34)</f>
        <v>0</v>
      </c>
      <c r="I35" s="2">
        <f t="shared" si="79"/>
        <v>0</v>
      </c>
      <c r="J35" s="2">
        <f t="shared" si="79"/>
        <v>0</v>
      </c>
    </row>
    <row r="37" spans="2:21" x14ac:dyDescent="0.2">
      <c r="B37" s="2" t="s">
        <v>49</v>
      </c>
      <c r="G37" s="2">
        <v>37136</v>
      </c>
    </row>
    <row r="38" spans="2:21" x14ac:dyDescent="0.2">
      <c r="B38" s="2" t="s">
        <v>50</v>
      </c>
      <c r="G38" s="2">
        <v>33566</v>
      </c>
    </row>
    <row r="39" spans="2:21" x14ac:dyDescent="0.2">
      <c r="B39" s="2" t="s">
        <v>4</v>
      </c>
      <c r="G39" s="2">
        <f>9986+71285</f>
        <v>81271</v>
      </c>
    </row>
    <row r="40" spans="2:21" x14ac:dyDescent="0.2">
      <c r="B40" s="2" t="s">
        <v>51</v>
      </c>
      <c r="G40" s="2">
        <v>3296</v>
      </c>
    </row>
    <row r="41" spans="2:21" x14ac:dyDescent="0.2">
      <c r="B41" s="2" t="s">
        <v>53</v>
      </c>
      <c r="G41" s="2">
        <v>3902</v>
      </c>
    </row>
    <row r="42" spans="2:21" x14ac:dyDescent="0.2">
      <c r="B42" s="2" t="s">
        <v>52</v>
      </c>
      <c r="G42" s="2">
        <f>15963+29487</f>
        <v>45450</v>
      </c>
    </row>
    <row r="43" spans="2:21" x14ac:dyDescent="0.2">
      <c r="B43" s="2" t="s">
        <v>54</v>
      </c>
      <c r="G43" s="2">
        <f>SUM(G37:G42)</f>
        <v>204621</v>
      </c>
    </row>
    <row r="44" spans="2:21" x14ac:dyDescent="0.2">
      <c r="B44" s="2" t="s">
        <v>55</v>
      </c>
      <c r="G44" s="2">
        <f>G35-G43</f>
        <v>105169</v>
      </c>
    </row>
    <row r="45" spans="2:21" x14ac:dyDescent="0.2">
      <c r="B45" s="2" t="s">
        <v>56</v>
      </c>
      <c r="G45" s="2">
        <f>G44+G43</f>
        <v>309790</v>
      </c>
    </row>
    <row r="46" spans="2:21" x14ac:dyDescent="0.2">
      <c r="B46" s="2" t="s">
        <v>57</v>
      </c>
      <c r="G46" s="2">
        <f>G27/G7*90</f>
        <v>22.124024640657083</v>
      </c>
    </row>
    <row r="48" spans="2:21" x14ac:dyDescent="0.2">
      <c r="B48" s="2" t="s">
        <v>58</v>
      </c>
      <c r="G48" s="2">
        <f>G17</f>
        <v>6489</v>
      </c>
      <c r="L48" s="2">
        <f>L17</f>
        <v>0</v>
      </c>
      <c r="M48" s="2">
        <f t="shared" ref="M48:U48" si="80">M17</f>
        <v>0</v>
      </c>
      <c r="N48" s="2">
        <f t="shared" si="80"/>
        <v>0</v>
      </c>
      <c r="O48" s="2">
        <f t="shared" si="80"/>
        <v>0</v>
      </c>
      <c r="P48" s="2">
        <f t="shared" si="80"/>
        <v>0</v>
      </c>
      <c r="Q48" s="2">
        <f t="shared" si="80"/>
        <v>17636.900944263867</v>
      </c>
      <c r="R48" s="2">
        <f t="shared" si="80"/>
        <v>14939.142557593723</v>
      </c>
      <c r="S48" s="2">
        <f t="shared" si="80"/>
        <v>15475.813410272687</v>
      </c>
      <c r="T48" s="2">
        <f t="shared" si="80"/>
        <v>16027.07146562993</v>
      </c>
      <c r="U48" s="2">
        <f t="shared" si="80"/>
        <v>16593.270899046194</v>
      </c>
    </row>
    <row r="49" spans="2:16" x14ac:dyDescent="0.2">
      <c r="B49" s="2" t="s">
        <v>59</v>
      </c>
      <c r="P49" s="2">
        <v>15242</v>
      </c>
    </row>
    <row r="50" spans="2:16" x14ac:dyDescent="0.2">
      <c r="B50" s="2" t="s">
        <v>23</v>
      </c>
      <c r="P50" s="2">
        <v>4099</v>
      </c>
    </row>
    <row r="51" spans="2:16" x14ac:dyDescent="0.2">
      <c r="B51" s="2" t="s">
        <v>53</v>
      </c>
      <c r="P51" s="2">
        <v>-296</v>
      </c>
    </row>
    <row r="52" spans="2:16" x14ac:dyDescent="0.2">
      <c r="B52" s="2" t="s">
        <v>60</v>
      </c>
      <c r="P52" s="2">
        <v>1018</v>
      </c>
    </row>
    <row r="53" spans="2:16" x14ac:dyDescent="0.2">
      <c r="B53" s="2" t="s">
        <v>19</v>
      </c>
      <c r="P53" s="2">
        <f>8310-3333-28</f>
        <v>4949</v>
      </c>
    </row>
    <row r="54" spans="2:16" x14ac:dyDescent="0.2">
      <c r="B54" s="2" t="s">
        <v>39</v>
      </c>
      <c r="P54" s="2">
        <v>-1437</v>
      </c>
    </row>
    <row r="55" spans="2:16" x14ac:dyDescent="0.2">
      <c r="B55" s="2" t="s">
        <v>48</v>
      </c>
      <c r="P55" s="2">
        <v>-4140</v>
      </c>
    </row>
    <row r="56" spans="2:16" x14ac:dyDescent="0.2">
      <c r="B56" s="2" t="s">
        <v>49</v>
      </c>
      <c r="P56" s="2">
        <v>2503</v>
      </c>
    </row>
    <row r="57" spans="2:16" x14ac:dyDescent="0.2">
      <c r="B57" s="2" t="s">
        <v>50</v>
      </c>
      <c r="P57" s="2">
        <v>2463</v>
      </c>
    </row>
    <row r="58" spans="2:16" x14ac:dyDescent="0.2">
      <c r="B58" s="2" t="s">
        <v>51</v>
      </c>
      <c r="P58" s="2">
        <v>-197</v>
      </c>
    </row>
    <row r="59" spans="2:16" x14ac:dyDescent="0.2">
      <c r="B59" s="2" t="s">
        <v>63</v>
      </c>
    </row>
    <row r="60" spans="2:16" x14ac:dyDescent="0.2">
      <c r="B60" s="2" t="s">
        <v>61</v>
      </c>
      <c r="P60" s="2">
        <f>SUM(P49:P58)</f>
        <v>24204</v>
      </c>
    </row>
    <row r="62" spans="2:16" x14ac:dyDescent="0.2">
      <c r="B62" s="2" t="s">
        <v>70</v>
      </c>
      <c r="P62" s="2">
        <f>-27308+18514+9319</f>
        <v>525</v>
      </c>
    </row>
    <row r="63" spans="2:16" x14ac:dyDescent="0.2">
      <c r="B63" s="2" t="s">
        <v>71</v>
      </c>
      <c r="P63" s="2">
        <v>-13408</v>
      </c>
    </row>
    <row r="64" spans="2:16" x14ac:dyDescent="0.2">
      <c r="B64" s="2" t="s">
        <v>72</v>
      </c>
      <c r="P64" s="2">
        <v>-3499</v>
      </c>
    </row>
    <row r="65" spans="2:16" x14ac:dyDescent="0.2">
      <c r="B65" s="2" t="s">
        <v>19</v>
      </c>
      <c r="P65" s="2">
        <v>2041</v>
      </c>
    </row>
    <row r="66" spans="2:16" x14ac:dyDescent="0.2">
      <c r="B66" s="2" t="s">
        <v>67</v>
      </c>
      <c r="P66" s="2">
        <f>SUM(P62:P65)</f>
        <v>-14341</v>
      </c>
    </row>
    <row r="68" spans="2:16" x14ac:dyDescent="0.2">
      <c r="B68" s="2" t="s">
        <v>73</v>
      </c>
      <c r="P68" s="2">
        <v>-9000</v>
      </c>
    </row>
    <row r="69" spans="2:16" x14ac:dyDescent="0.2">
      <c r="B69" s="2" t="s">
        <v>74</v>
      </c>
      <c r="P69" s="2">
        <v>-7533</v>
      </c>
    </row>
    <row r="70" spans="2:16" x14ac:dyDescent="0.2">
      <c r="B70" s="2" t="s">
        <v>75</v>
      </c>
      <c r="P70" s="2">
        <v>1846</v>
      </c>
    </row>
    <row r="71" spans="2:16" x14ac:dyDescent="0.2">
      <c r="B71" s="2" t="s">
        <v>4</v>
      </c>
      <c r="P71" s="2">
        <f>-3000-151+17811</f>
        <v>14660</v>
      </c>
    </row>
    <row r="72" spans="2:16" x14ac:dyDescent="0.2">
      <c r="B72" s="2" t="s">
        <v>76</v>
      </c>
      <c r="P72" s="2">
        <v>-1560</v>
      </c>
    </row>
    <row r="73" spans="2:16" x14ac:dyDescent="0.2">
      <c r="B73" s="2" t="s">
        <v>19</v>
      </c>
      <c r="P73" s="2">
        <f>-280-1645</f>
        <v>-1925</v>
      </c>
    </row>
    <row r="74" spans="2:16" x14ac:dyDescent="0.2">
      <c r="B74" s="2" t="s">
        <v>62</v>
      </c>
      <c r="P74" s="2">
        <f>SUM(P68:P73)</f>
        <v>-3512</v>
      </c>
    </row>
    <row r="75" spans="2:16" x14ac:dyDescent="0.2">
      <c r="B75" s="2" t="s">
        <v>64</v>
      </c>
      <c r="P75" s="2">
        <v>-61</v>
      </c>
    </row>
    <row r="76" spans="2:16" x14ac:dyDescent="0.2">
      <c r="B76" s="2" t="s">
        <v>65</v>
      </c>
      <c r="P76" s="2">
        <f>P60+P66+P74+P75</f>
        <v>6290</v>
      </c>
    </row>
    <row r="78" spans="2:16" x14ac:dyDescent="0.2">
      <c r="B78" s="2" t="s">
        <v>66</v>
      </c>
      <c r="P78" s="2">
        <f>P60+P64</f>
        <v>20705</v>
      </c>
    </row>
  </sheetData>
  <hyperlinks>
    <hyperlink ref="A1" location="Main!A1" display="Main" xr:uid="{99C54572-F8A9-4F5C-94DE-01D6E6D0E334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2025-07-31T05:15:41Z</dcterms:created>
  <dcterms:modified xsi:type="dcterms:W3CDTF">2025-08-11T07:04:07Z</dcterms:modified>
</cp:coreProperties>
</file>