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BE250AAA-2178-496A-B0ED-36C4690FA6B7}" xr6:coauthVersionLast="47" xr6:coauthVersionMax="47" xr10:uidLastSave="{00000000-0000-0000-0000-000000000000}"/>
  <bookViews>
    <workbookView xWindow="4395" yWindow="345" windowWidth="21540" windowHeight="14760" xr2:uid="{993E1CB9-6C29-4F74-831D-210C447B6FF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P3" i="2" s="1"/>
  <c r="Q3" i="2" s="1"/>
  <c r="R3" i="2" s="1"/>
  <c r="S3" i="2" s="1"/>
  <c r="S8" i="2" s="1"/>
  <c r="O4" i="2"/>
  <c r="P4" i="2" s="1"/>
  <c r="O6" i="2"/>
  <c r="P6" i="2" s="1"/>
  <c r="Q6" i="2" s="1"/>
  <c r="R6" i="2" s="1"/>
  <c r="S6" i="2" s="1"/>
  <c r="T6" i="2" s="1"/>
  <c r="O11" i="2"/>
  <c r="P11" i="2" s="1"/>
  <c r="Q11" i="2" s="1"/>
  <c r="R11" i="2" s="1"/>
  <c r="S11" i="2" s="1"/>
  <c r="O29" i="2"/>
  <c r="P29" i="2" s="1"/>
  <c r="Q29" i="2" s="1"/>
  <c r="R29" i="2" s="1"/>
  <c r="S29" i="2" s="1"/>
  <c r="T29" i="2" s="1"/>
  <c r="U29" i="2" s="1"/>
  <c r="V29" i="2" s="1"/>
  <c r="W29" i="2" s="1"/>
  <c r="X29" i="2" s="1"/>
  <c r="M48" i="2"/>
  <c r="N48" i="2"/>
  <c r="L48" i="2"/>
  <c r="O35" i="2"/>
  <c r="P35" i="2" s="1"/>
  <c r="Q35" i="2" s="1"/>
  <c r="L36" i="2"/>
  <c r="M36" i="2"/>
  <c r="L37" i="2"/>
  <c r="M37" i="2"/>
  <c r="N37" i="2"/>
  <c r="N36" i="2"/>
  <c r="L35" i="2"/>
  <c r="M35" i="2"/>
  <c r="N35" i="2"/>
  <c r="F54" i="2"/>
  <c r="F50" i="2" s="1"/>
  <c r="G50" i="2" s="1"/>
  <c r="H50" i="2" s="1"/>
  <c r="I50" i="2" s="1"/>
  <c r="J50" i="2" s="1"/>
  <c r="N50" i="2" s="1"/>
  <c r="O24" i="2" s="1"/>
  <c r="L7" i="2"/>
  <c r="M7" i="2"/>
  <c r="O5" i="2"/>
  <c r="O10" i="2" s="1"/>
  <c r="N6" i="1"/>
  <c r="N3" i="1"/>
  <c r="L13" i="2"/>
  <c r="L22" i="2"/>
  <c r="M22" i="2"/>
  <c r="M13" i="2"/>
  <c r="N22" i="2"/>
  <c r="N7" i="2"/>
  <c r="N13" i="2"/>
  <c r="N8" i="1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N11" i="1"/>
  <c r="N12" i="1" s="1"/>
  <c r="N4" i="1"/>
  <c r="N7" i="1" s="1"/>
  <c r="N9" i="1" s="1"/>
  <c r="P9" i="2" l="1"/>
  <c r="Q4" i="2"/>
  <c r="R4" i="2" s="1"/>
  <c r="S4" i="2" s="1"/>
  <c r="T11" i="2"/>
  <c r="U11" i="2" s="1"/>
  <c r="V11" i="2" s="1"/>
  <c r="W11" i="2" s="1"/>
  <c r="X11" i="2" s="1"/>
  <c r="R8" i="2"/>
  <c r="Q8" i="2"/>
  <c r="P8" i="2"/>
  <c r="O8" i="2"/>
  <c r="U6" i="2"/>
  <c r="V6" i="2" s="1"/>
  <c r="W6" i="2" s="1"/>
  <c r="X6" i="2" s="1"/>
  <c r="T3" i="2"/>
  <c r="M39" i="2"/>
  <c r="M16" i="2"/>
  <c r="M31" i="2" s="1"/>
  <c r="M23" i="2"/>
  <c r="M25" i="2" s="1"/>
  <c r="P5" i="2"/>
  <c r="L16" i="2"/>
  <c r="L31" i="2" s="1"/>
  <c r="N16" i="2"/>
  <c r="N31" i="2" s="1"/>
  <c r="L23" i="2"/>
  <c r="L25" i="2" s="1"/>
  <c r="N39" i="2"/>
  <c r="N23" i="2"/>
  <c r="N25" i="2" s="1"/>
  <c r="O7" i="2"/>
  <c r="O39" i="2" s="1"/>
  <c r="O10" i="1"/>
  <c r="O11" i="1"/>
  <c r="O12" i="1"/>
  <c r="Q9" i="2" l="1"/>
  <c r="O18" i="2"/>
  <c r="O20" i="2"/>
  <c r="O17" i="2"/>
  <c r="O19" i="2"/>
  <c r="O21" i="2"/>
  <c r="U3" i="2"/>
  <c r="T8" i="2"/>
  <c r="P10" i="2"/>
  <c r="L27" i="2"/>
  <c r="L32" i="2" s="1"/>
  <c r="L44" i="2" s="1"/>
  <c r="L33" i="2"/>
  <c r="M27" i="2"/>
  <c r="M28" i="2" s="1"/>
  <c r="M33" i="2"/>
  <c r="Q5" i="2"/>
  <c r="Q7" i="2" s="1"/>
  <c r="P7" i="2"/>
  <c r="P39" i="2" s="1"/>
  <c r="L28" i="2"/>
  <c r="N27" i="2"/>
  <c r="N33" i="2"/>
  <c r="O12" i="2"/>
  <c r="R9" i="2" l="1"/>
  <c r="P21" i="2"/>
  <c r="V3" i="2"/>
  <c r="U8" i="2"/>
  <c r="P19" i="2"/>
  <c r="P17" i="2"/>
  <c r="O22" i="2"/>
  <c r="P20" i="2"/>
  <c r="P18" i="2"/>
  <c r="Q10" i="2"/>
  <c r="M32" i="2"/>
  <c r="M44" i="2" s="1"/>
  <c r="R5" i="2"/>
  <c r="N28" i="2"/>
  <c r="N32" i="2"/>
  <c r="N44" i="2" s="1"/>
  <c r="P12" i="2"/>
  <c r="Q39" i="2"/>
  <c r="T4" i="2" l="1"/>
  <c r="S9" i="2"/>
  <c r="Q18" i="2"/>
  <c r="Q17" i="2"/>
  <c r="P22" i="2"/>
  <c r="Q20" i="2"/>
  <c r="Q19" i="2"/>
  <c r="V8" i="2"/>
  <c r="W3" i="2"/>
  <c r="Q21" i="2"/>
  <c r="R10" i="2"/>
  <c r="S5" i="2"/>
  <c r="R7" i="2"/>
  <c r="R39" i="2" s="1"/>
  <c r="S7" i="2"/>
  <c r="Q12" i="2"/>
  <c r="U4" i="2" l="1"/>
  <c r="T9" i="2"/>
  <c r="R20" i="2"/>
  <c r="R21" i="2"/>
  <c r="W8" i="2"/>
  <c r="X3" i="2"/>
  <c r="X8" i="2" s="1"/>
  <c r="R19" i="2"/>
  <c r="R17" i="2"/>
  <c r="Q22" i="2"/>
  <c r="R18" i="2"/>
  <c r="S10" i="2"/>
  <c r="T5" i="2"/>
  <c r="R12" i="2"/>
  <c r="S39" i="2"/>
  <c r="V4" i="2" l="1"/>
  <c r="U9" i="2"/>
  <c r="S19" i="2"/>
  <c r="S18" i="2"/>
  <c r="S17" i="2"/>
  <c r="R22" i="2"/>
  <c r="S21" i="2"/>
  <c r="S20" i="2"/>
  <c r="T10" i="2"/>
  <c r="U5" i="2"/>
  <c r="T7" i="2"/>
  <c r="T39" i="2" s="1"/>
  <c r="T21" i="2" s="1"/>
  <c r="S12" i="2"/>
  <c r="T18" i="2" l="1"/>
  <c r="W4" i="2"/>
  <c r="V9" i="2"/>
  <c r="S22" i="2"/>
  <c r="T19" i="2"/>
  <c r="T17" i="2"/>
  <c r="U10" i="2"/>
  <c r="T20" i="2"/>
  <c r="V5" i="2"/>
  <c r="U7" i="2"/>
  <c r="U39" i="2" s="1"/>
  <c r="U18" i="2" s="1"/>
  <c r="T12" i="2"/>
  <c r="X4" i="2" l="1"/>
  <c r="X9" i="2" s="1"/>
  <c r="W9" i="2"/>
  <c r="T22" i="2"/>
  <c r="U17" i="2"/>
  <c r="V10" i="2"/>
  <c r="W5" i="2"/>
  <c r="V7" i="2"/>
  <c r="V39" i="2" s="1"/>
  <c r="V18" i="2" s="1"/>
  <c r="U20" i="2"/>
  <c r="U19" i="2"/>
  <c r="U21" i="2"/>
  <c r="V21" i="2" s="1"/>
  <c r="U12" i="2"/>
  <c r="V19" i="2" l="1"/>
  <c r="V20" i="2"/>
  <c r="U22" i="2"/>
  <c r="V17" i="2"/>
  <c r="V22" i="2" s="1"/>
  <c r="W10" i="2"/>
  <c r="X5" i="2"/>
  <c r="X7" i="2" s="1"/>
  <c r="W7" i="2"/>
  <c r="W39" i="2" s="1"/>
  <c r="W18" i="2" s="1"/>
  <c r="V12" i="2"/>
  <c r="X10" i="2" l="1"/>
  <c r="W17" i="2"/>
  <c r="X39" i="2"/>
  <c r="X18" i="2" s="1"/>
  <c r="W20" i="2"/>
  <c r="X20" i="2" s="1"/>
  <c r="W19" i="2"/>
  <c r="X19" i="2" s="1"/>
  <c r="W21" i="2"/>
  <c r="X21" i="2" s="1"/>
  <c r="W12" i="2"/>
  <c r="W22" i="2" l="1"/>
  <c r="X17" i="2"/>
  <c r="X22" i="2" s="1"/>
  <c r="X12" i="2"/>
  <c r="O9" i="2"/>
  <c r="P13" i="2" l="1"/>
  <c r="O13" i="2"/>
  <c r="O16" i="2" l="1"/>
  <c r="O31" i="2" s="1"/>
  <c r="O23" i="2"/>
  <c r="O25" i="2" s="1"/>
  <c r="P23" i="2"/>
  <c r="P16" i="2"/>
  <c r="P31" i="2" s="1"/>
  <c r="Q13" i="2"/>
  <c r="R13" i="2" l="1"/>
  <c r="Q23" i="2"/>
  <c r="Q16" i="2"/>
  <c r="Q31" i="2" s="1"/>
  <c r="O26" i="2"/>
  <c r="O27" i="2" s="1"/>
  <c r="O48" i="2" s="1"/>
  <c r="O50" i="2" l="1"/>
  <c r="O28" i="2"/>
  <c r="O32" i="2"/>
  <c r="O44" i="2" s="1"/>
  <c r="S13" i="2"/>
  <c r="R23" i="2"/>
  <c r="R16" i="2"/>
  <c r="R31" i="2" s="1"/>
  <c r="S23" i="2" l="1"/>
  <c r="S16" i="2"/>
  <c r="S31" i="2" s="1"/>
  <c r="T13" i="2"/>
  <c r="P24" i="2"/>
  <c r="P25" i="2" s="1"/>
  <c r="P26" i="2" l="1"/>
  <c r="P27" i="2"/>
  <c r="P48" i="2" s="1"/>
  <c r="T16" i="2"/>
  <c r="T31" i="2" s="1"/>
  <c r="T23" i="2"/>
  <c r="U13" i="2"/>
  <c r="P32" i="2" l="1"/>
  <c r="P44" i="2" s="1"/>
  <c r="P28" i="2"/>
  <c r="P50" i="2"/>
  <c r="U16" i="2"/>
  <c r="U31" i="2" s="1"/>
  <c r="U23" i="2"/>
  <c r="V13" i="2"/>
  <c r="Q24" i="2" l="1"/>
  <c r="Q25" i="2" s="1"/>
  <c r="Q26" i="2" s="1"/>
  <c r="Q27" i="2" s="1"/>
  <c r="Q48" i="2" s="1"/>
  <c r="W13" i="2"/>
  <c r="X13" i="2"/>
  <c r="V23" i="2"/>
  <c r="V16" i="2"/>
  <c r="V31" i="2" s="1"/>
  <c r="Q28" i="2" l="1"/>
  <c r="Q32" i="2"/>
  <c r="Q44" i="2" s="1"/>
  <c r="Q50" i="2"/>
  <c r="X16" i="2"/>
  <c r="X31" i="2" s="1"/>
  <c r="X23" i="2"/>
  <c r="W16" i="2"/>
  <c r="W31" i="2" s="1"/>
  <c r="W23" i="2"/>
  <c r="R24" i="2" l="1"/>
  <c r="R25" i="2" s="1"/>
  <c r="R26" i="2" l="1"/>
  <c r="R27" i="2" l="1"/>
  <c r="R48" i="2" s="1"/>
  <c r="R28" i="2"/>
  <c r="R32" i="2"/>
  <c r="R44" i="2" s="1"/>
  <c r="R50" i="2"/>
  <c r="S24" i="2" l="1"/>
  <c r="S25" i="2" s="1"/>
  <c r="S26" i="2" l="1"/>
  <c r="S27" i="2"/>
  <c r="S50" i="2"/>
  <c r="T24" i="2" s="1"/>
  <c r="T25" i="2" s="1"/>
  <c r="S48" i="2"/>
  <c r="S32" i="2"/>
  <c r="S44" i="2" s="1"/>
  <c r="S28" i="2"/>
  <c r="T26" i="2" l="1"/>
  <c r="T27" i="2" s="1"/>
  <c r="T48" i="2" l="1"/>
  <c r="T28" i="2"/>
  <c r="T50" i="2"/>
  <c r="U24" i="2" s="1"/>
  <c r="U25" i="2" s="1"/>
  <c r="T32" i="2"/>
  <c r="T44" i="2" s="1"/>
  <c r="U26" i="2" l="1"/>
  <c r="U27" i="2" s="1"/>
  <c r="U48" i="2" l="1"/>
  <c r="U50" i="2"/>
  <c r="U28" i="2"/>
  <c r="U32" i="2"/>
  <c r="U44" i="2" s="1"/>
  <c r="V24" i="2" l="1"/>
  <c r="V25" i="2" s="1"/>
  <c r="V26" i="2" l="1"/>
  <c r="V27" i="2" s="1"/>
  <c r="V48" i="2" l="1"/>
  <c r="V28" i="2"/>
  <c r="V32" i="2"/>
  <c r="V44" i="2" s="1"/>
  <c r="V50" i="2"/>
  <c r="W24" i="2" l="1"/>
  <c r="W25" i="2" s="1"/>
  <c r="W26" i="2" l="1"/>
  <c r="W27" i="2" s="1"/>
  <c r="W48" i="2" l="1"/>
  <c r="W32" i="2"/>
  <c r="W44" i="2" s="1"/>
  <c r="W28" i="2"/>
  <c r="W50" i="2"/>
  <c r="X24" i="2" l="1"/>
  <c r="X25" i="2" s="1"/>
  <c r="X26" i="2" l="1"/>
  <c r="X27" i="2" l="1"/>
  <c r="X48" i="2" s="1"/>
  <c r="X50" i="2" l="1"/>
  <c r="X28" i="2"/>
  <c r="X32" i="2"/>
  <c r="X44" i="2" s="1"/>
  <c r="Y48" i="2"/>
  <c r="Z48" i="2" s="1"/>
  <c r="Y27" i="2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AA48" i="2" l="1"/>
  <c r="AB48" i="2" s="1"/>
  <c r="AC48" i="2" s="1"/>
  <c r="AD48" i="2" s="1"/>
  <c r="AE48" i="2" s="1"/>
  <c r="AF48" i="2" s="1"/>
  <c r="AG48" i="2" s="1"/>
  <c r="AH48" i="2" s="1"/>
  <c r="AI48" i="2" s="1"/>
  <c r="AJ48" i="2" s="1"/>
  <c r="AK48" i="2" s="1"/>
  <c r="AL48" i="2" s="1"/>
  <c r="AM48" i="2" s="1"/>
  <c r="AN48" i="2" s="1"/>
  <c r="AO48" i="2" s="1"/>
  <c r="AP48" i="2" s="1"/>
  <c r="AQ48" i="2" s="1"/>
  <c r="AR48" i="2" s="1"/>
  <c r="AS48" i="2" s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BD48" i="2" s="1"/>
  <c r="BE48" i="2" s="1"/>
  <c r="BF48" i="2" s="1"/>
  <c r="BG48" i="2" s="1"/>
  <c r="BH48" i="2" s="1"/>
  <c r="BI48" i="2" s="1"/>
  <c r="BJ48" i="2" s="1"/>
  <c r="BK48" i="2" s="1"/>
  <c r="BL48" i="2" s="1"/>
  <c r="BM48" i="2" s="1"/>
  <c r="BN48" i="2" s="1"/>
  <c r="BO48" i="2" s="1"/>
  <c r="BP48" i="2" s="1"/>
  <c r="BQ48" i="2" s="1"/>
  <c r="BR48" i="2" s="1"/>
  <c r="BS48" i="2" s="1"/>
  <c r="BT48" i="2" s="1"/>
  <c r="BU48" i="2" s="1"/>
  <c r="BV48" i="2" s="1"/>
  <c r="BW48" i="2" s="1"/>
  <c r="BX48" i="2" s="1"/>
  <c r="BY48" i="2" s="1"/>
  <c r="BZ48" i="2" s="1"/>
  <c r="CA48" i="2" s="1"/>
  <c r="CB48" i="2" s="1"/>
  <c r="CC48" i="2" s="1"/>
  <c r="CD48" i="2" s="1"/>
  <c r="CE48" i="2" s="1"/>
  <c r="CF48" i="2" s="1"/>
  <c r="CG48" i="2" s="1"/>
  <c r="CH48" i="2" s="1"/>
  <c r="CI48" i="2" s="1"/>
  <c r="CJ48" i="2" s="1"/>
  <c r="CK48" i="2" s="1"/>
  <c r="CL48" i="2" s="1"/>
  <c r="CM48" i="2" s="1"/>
  <c r="CN48" i="2" s="1"/>
  <c r="CO48" i="2" s="1"/>
  <c r="CP48" i="2" s="1"/>
  <c r="CQ48" i="2" s="1"/>
  <c r="CR48" i="2" s="1"/>
  <c r="CS48" i="2" s="1"/>
  <c r="CT48" i="2" s="1"/>
  <c r="CU48" i="2" s="1"/>
  <c r="CV48" i="2" s="1"/>
  <c r="CW48" i="2" s="1"/>
  <c r="CX48" i="2" s="1"/>
  <c r="CY48" i="2" s="1"/>
  <c r="CZ48" i="2" s="1"/>
  <c r="DA48" i="2" s="1"/>
  <c r="DB48" i="2" s="1"/>
  <c r="DC48" i="2" s="1"/>
  <c r="DD48" i="2" s="1"/>
  <c r="DE48" i="2" s="1"/>
  <c r="DF48" i="2" s="1"/>
  <c r="DG48" i="2" s="1"/>
  <c r="DH48" i="2" s="1"/>
  <c r="DI48" i="2" s="1"/>
  <c r="DJ48" i="2" s="1"/>
  <c r="DK48" i="2" s="1"/>
  <c r="DL48" i="2" s="1"/>
  <c r="DM48" i="2" s="1"/>
  <c r="DN48" i="2" s="1"/>
  <c r="DO48" i="2" s="1"/>
  <c r="DP48" i="2" s="1"/>
  <c r="DQ48" i="2" s="1"/>
  <c r="DR48" i="2" s="1"/>
  <c r="DS48" i="2" s="1"/>
  <c r="DT48" i="2" s="1"/>
  <c r="DU48" i="2" s="1"/>
  <c r="AA33" i="2" l="1"/>
  <c r="AA34" i="2" s="1"/>
  <c r="AA35" i="2" s="1"/>
</calcChain>
</file>

<file path=xl/sharedStrings.xml><?xml version="1.0" encoding="utf-8"?>
<sst xmlns="http://schemas.openxmlformats.org/spreadsheetml/2006/main" count="77" uniqueCount="64">
  <si>
    <t>Price</t>
  </si>
  <si>
    <t>Shares</t>
  </si>
  <si>
    <t>MC</t>
  </si>
  <si>
    <t>Cash</t>
  </si>
  <si>
    <t>Debt</t>
  </si>
  <si>
    <t>EV</t>
  </si>
  <si>
    <t>FCF</t>
  </si>
  <si>
    <t>Run Rate</t>
  </si>
  <si>
    <t>NTM</t>
  </si>
  <si>
    <t>Q424</t>
  </si>
  <si>
    <t>Revenue</t>
  </si>
  <si>
    <t>Net Income</t>
  </si>
  <si>
    <t>Gross Margin</t>
  </si>
  <si>
    <t>Net Margin</t>
  </si>
  <si>
    <t>CFFO</t>
  </si>
  <si>
    <t>Q324</t>
  </si>
  <si>
    <t>Q124</t>
  </si>
  <si>
    <t>Q224</t>
  </si>
  <si>
    <t>Operating Income</t>
  </si>
  <si>
    <t>COGS</t>
  </si>
  <si>
    <t>Gross Profit</t>
  </si>
  <si>
    <t>Q125</t>
  </si>
  <si>
    <t>notes:</t>
  </si>
  <si>
    <t>"expect to leave 2025 at a Rule of 40 run rate"</t>
  </si>
  <si>
    <t>"achieve rule of 40 in 2026"</t>
  </si>
  <si>
    <t>Rule of X</t>
  </si>
  <si>
    <t>Rule of 40</t>
  </si>
  <si>
    <t>Rule of 40: growth rate + profit margin =&gt; 40%</t>
  </si>
  <si>
    <t>Rule of X: "growth should be valued more than FCF margin"</t>
  </si>
  <si>
    <t>(growth rate * multiplier (2-3x)) + FCF margin</t>
  </si>
  <si>
    <t>R&amp;D</t>
  </si>
  <si>
    <t>S&amp;M</t>
  </si>
  <si>
    <t>G&amp;A</t>
  </si>
  <si>
    <t>Taxes</t>
  </si>
  <si>
    <t>Maturity</t>
  </si>
  <si>
    <t>ROIC</t>
  </si>
  <si>
    <t>Discount</t>
  </si>
  <si>
    <t>NPV</t>
  </si>
  <si>
    <t>Diff</t>
  </si>
  <si>
    <t>CX</t>
  </si>
  <si>
    <t>EPS</t>
  </si>
  <si>
    <t>Revenue y/y</t>
  </si>
  <si>
    <t>Interest Income</t>
  </si>
  <si>
    <t>Pretax Income</t>
  </si>
  <si>
    <t>Square GP</t>
  </si>
  <si>
    <t>Cash App GP</t>
  </si>
  <si>
    <t>Operating Expenses</t>
  </si>
  <si>
    <t>Square y/y</t>
  </si>
  <si>
    <t>Cash App y/y</t>
  </si>
  <si>
    <t>Transaction-based</t>
  </si>
  <si>
    <t>Subscription &amp; Services</t>
  </si>
  <si>
    <t>Hardware</t>
  </si>
  <si>
    <t>Bitcoin</t>
  </si>
  <si>
    <t>Amortization</t>
  </si>
  <si>
    <t>Tax Rate</t>
  </si>
  <si>
    <t>Transaction &amp; Loan Loss</t>
  </si>
  <si>
    <t>Net Cash</t>
  </si>
  <si>
    <t>Q225</t>
  </si>
  <si>
    <t>Q325</t>
  </si>
  <si>
    <t>Q425</t>
  </si>
  <si>
    <t>Bitcoin GM</t>
  </si>
  <si>
    <t>Transaction GM</t>
  </si>
  <si>
    <t>Subscription GM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</si>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</sst>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9" fontId="2" fillId="0" borderId="0" xfId="0" applyNumberFormat="1" applyFont="1"/>
    <xf numFmtId="3" fontId="1" fillId="0" borderId="0" xfId="0" applyNumberFormat="1" applyFont="1"/>
    <xf numFmtId="1" fontId="1" fillId="0" borderId="0" xfId="0" applyNumberFormat="1" applyFont="1"/>
    <xf numFmtId="9" fontId="1" fillId="0" borderId="0" xfId="0" applyNumberFormat="1" applyFont="1"/>
    <xf numFmtId="3" fontId="4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9" fontId="4" fillId="0" borderId="0" xfId="0" applyNumberFormat="1" applyFont="1"/>
    <xf numFmtId="3" fontId="6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19050</xdr:rowOff>
    </xdr:from>
    <xdr:to>
      <xdr:col>14</xdr:col>
      <xdr:colOff>9525</xdr:colOff>
      <xdr:row>54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C033D29-C3C1-6EDA-A265-609F5DECE16B}"/>
            </a:ext>
          </a:extLst>
        </xdr:cNvPr>
        <xdr:cNvCxnSpPr/>
      </xdr:nvCxnSpPr>
      <xdr:spPr>
        <a:xfrm flipH="1">
          <a:off x="8924925" y="19050"/>
          <a:ext cx="9525" cy="9801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1</xdr:row>
      <xdr:rowOff>0</xdr:rowOff>
    </xdr:from>
    <xdr:to>
      <xdr:col>7</xdr:col>
      <xdr:colOff>28575</xdr:colOff>
      <xdr:row>55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7A71A99-91D8-47FA-4086-8D1A60F26055}"/>
            </a:ext>
          </a:extLst>
        </xdr:cNvPr>
        <xdr:cNvCxnSpPr/>
      </xdr:nvCxnSpPr>
      <xdr:spPr>
        <a:xfrm>
          <a:off x="4648200" y="0"/>
          <a:ext cx="38100" cy="99917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8871-36D9-4410-9561-C7A7B2E935BD}">
  <dimension ref="A1:O12"/>
  <sheetViews>
    <sheetView tabSelected="1" zoomScale="115" zoomScaleNormal="115" workbookViewId="0">
      <selection activeCell="N2" sqref="N2"/>
    </sheetView>
  </sheetViews>
  <sheetFormatPr defaultRowHeight="14.25" x14ac:dyDescent="0.2"/>
  <cols>
    <col min="1" max="16384" width="9.140625" style="2"/>
  </cols>
  <sheetData>
    <row r="1" spans="1:15" ht="15" x14ac:dyDescent="0.25">
      <c r="A1" s="1"/>
    </row>
    <row r="2" spans="1:15" x14ac:dyDescent="0.2">
      <c r="B2" s="2" t="s">
        <v>22</v>
      </c>
      <c r="M2" s="2" t="s">
        <v>0</v>
      </c>
      <c r="N2" s="4">
        <v>74</v>
      </c>
      <c r="O2" s="5"/>
    </row>
    <row r="3" spans="1:15" x14ac:dyDescent="0.2">
      <c r="A3" s="2" t="s">
        <v>23</v>
      </c>
      <c r="M3" s="2" t="s">
        <v>1</v>
      </c>
      <c r="N3" s="3">
        <f>555+60</f>
        <v>615</v>
      </c>
      <c r="O3" s="2" t="s">
        <v>21</v>
      </c>
    </row>
    <row r="4" spans="1:15" x14ac:dyDescent="0.2">
      <c r="A4" s="2" t="s">
        <v>24</v>
      </c>
      <c r="M4" s="2" t="s">
        <v>2</v>
      </c>
      <c r="N4" s="3">
        <f>N3*N2</f>
        <v>45510</v>
      </c>
    </row>
    <row r="5" spans="1:15" x14ac:dyDescent="0.2">
      <c r="A5" s="2" t="s">
        <v>27</v>
      </c>
      <c r="M5" s="2" t="s">
        <v>3</v>
      </c>
      <c r="N5" s="3">
        <v>7088.83</v>
      </c>
      <c r="O5" s="2" t="s">
        <v>21</v>
      </c>
    </row>
    <row r="6" spans="1:15" x14ac:dyDescent="0.2">
      <c r="A6" s="2" t="s">
        <v>28</v>
      </c>
      <c r="M6" s="2" t="s">
        <v>4</v>
      </c>
      <c r="N6" s="3">
        <f>619+5108.4+546.4</f>
        <v>6273.7999999999993</v>
      </c>
      <c r="O6" s="2" t="s">
        <v>21</v>
      </c>
    </row>
    <row r="7" spans="1:15" x14ac:dyDescent="0.2">
      <c r="A7" s="2" t="s">
        <v>29</v>
      </c>
      <c r="M7" s="2" t="s">
        <v>5</v>
      </c>
      <c r="N7" s="3">
        <f>N4+N6-N5</f>
        <v>44694.97</v>
      </c>
    </row>
    <row r="8" spans="1:15" x14ac:dyDescent="0.2">
      <c r="N8" s="3">
        <f>228.333333333333*4</f>
        <v>913.33333333333201</v>
      </c>
    </row>
    <row r="9" spans="1:15" x14ac:dyDescent="0.2">
      <c r="N9" s="2">
        <f>N7/N8</f>
        <v>48.936098540146055</v>
      </c>
    </row>
    <row r="10" spans="1:15" x14ac:dyDescent="0.2">
      <c r="M10" s="2" t="s">
        <v>6</v>
      </c>
      <c r="N10" s="3">
        <v>628.16399999999999</v>
      </c>
      <c r="O10" s="4">
        <f>$N$7/N10</f>
        <v>71.151753363771249</v>
      </c>
    </row>
    <row r="11" spans="1:15" x14ac:dyDescent="0.2">
      <c r="M11" s="2" t="s">
        <v>7</v>
      </c>
      <c r="N11" s="3">
        <f>N10*4</f>
        <v>2512.6559999999999</v>
      </c>
      <c r="O11" s="4">
        <f>$N$7/N11</f>
        <v>17.787938340942812</v>
      </c>
    </row>
    <row r="12" spans="1:15" x14ac:dyDescent="0.2">
      <c r="M12" s="2" t="s">
        <v>8</v>
      </c>
      <c r="N12" s="3">
        <f>N11*1.1</f>
        <v>2763.9216000000001</v>
      </c>
      <c r="O12" s="4">
        <f>$N$7/N12</f>
        <v>16.170853037220738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9DA1-102B-490D-A61C-C357F954C48A}">
  <dimension ref="A1:DU54"/>
  <sheetViews>
    <sheetView zoomScale="130" zoomScaleNormal="130" workbookViewId="0">
      <pane xSplit="2" ySplit="2" topLeftCell="T15" activePane="bottomRight" state="frozen"/>
      <selection pane="topRight" activeCell="B1" sqref="B1"/>
      <selection pane="bottomLeft" activeCell="A2" sqref="A2"/>
      <selection pane="bottomRight" activeCell="AB33" sqref="AB33"/>
    </sheetView>
  </sheetViews>
  <sheetFormatPr defaultRowHeight="12.75" x14ac:dyDescent="0.2"/>
  <cols>
    <col min="1" max="1" width="5" style="6" bestFit="1" customWidth="1"/>
    <col min="2" max="2" width="24.5703125" style="6" customWidth="1"/>
    <col min="3" max="3" width="8.7109375" style="6" customWidth="1"/>
    <col min="4" max="19" width="9.140625" style="6"/>
    <col min="20" max="20" width="10.85546875" style="6" bestFit="1" customWidth="1"/>
    <col min="21" max="16384" width="9.140625" style="6"/>
  </cols>
  <sheetData>
    <row r="1" spans="1:24" x14ac:dyDescent="0.2">
      <c r="A1" s="13" t="s">
        <v>63</v>
      </c>
    </row>
    <row r="2" spans="1:24" x14ac:dyDescent="0.2">
      <c r="C2" s="6" t="s">
        <v>16</v>
      </c>
      <c r="D2" s="6" t="s">
        <v>17</v>
      </c>
      <c r="E2" s="6" t="s">
        <v>15</v>
      </c>
      <c r="F2" s="6" t="s">
        <v>9</v>
      </c>
      <c r="G2" s="6" t="s">
        <v>21</v>
      </c>
      <c r="H2" s="6" t="s">
        <v>57</v>
      </c>
      <c r="I2" s="6" t="s">
        <v>58</v>
      </c>
      <c r="J2" s="6" t="s">
        <v>59</v>
      </c>
      <c r="L2" s="7">
        <v>2022</v>
      </c>
      <c r="M2" s="7">
        <v>2023</v>
      </c>
      <c r="N2" s="7">
        <f t="shared" ref="N2:S2" si="0">M2+1</f>
        <v>2024</v>
      </c>
      <c r="O2" s="7">
        <f t="shared" si="0"/>
        <v>2025</v>
      </c>
      <c r="P2" s="7">
        <f t="shared" si="0"/>
        <v>2026</v>
      </c>
      <c r="Q2" s="7">
        <f t="shared" si="0"/>
        <v>2027</v>
      </c>
      <c r="R2" s="7">
        <f t="shared" si="0"/>
        <v>2028</v>
      </c>
      <c r="S2" s="7">
        <f t="shared" si="0"/>
        <v>2029</v>
      </c>
      <c r="T2" s="7">
        <f t="shared" ref="T2" si="1">S2+1</f>
        <v>2030</v>
      </c>
      <c r="U2" s="7">
        <f t="shared" ref="U2" si="2">T2+1</f>
        <v>2031</v>
      </c>
      <c r="V2" s="7">
        <f t="shared" ref="V2" si="3">U2+1</f>
        <v>2032</v>
      </c>
      <c r="W2" s="7">
        <f t="shared" ref="W2" si="4">V2+1</f>
        <v>2033</v>
      </c>
      <c r="X2" s="7">
        <f t="shared" ref="X2" si="5">W2+1</f>
        <v>2034</v>
      </c>
    </row>
    <row r="3" spans="1:24" x14ac:dyDescent="0.2">
      <c r="B3" s="6" t="s">
        <v>49</v>
      </c>
      <c r="L3" s="6">
        <v>5701.54</v>
      </c>
      <c r="M3" s="6">
        <v>6315.3</v>
      </c>
      <c r="N3" s="6">
        <v>6613.7</v>
      </c>
      <c r="O3" s="6">
        <f>N3*1.07</f>
        <v>7076.6590000000006</v>
      </c>
      <c r="P3" s="6">
        <f t="shared" ref="P3:S3" si="6">O3*1.07</f>
        <v>7572.0251300000009</v>
      </c>
      <c r="Q3" s="6">
        <f t="shared" si="6"/>
        <v>8102.0668891000014</v>
      </c>
      <c r="R3" s="6">
        <f t="shared" si="6"/>
        <v>8669.2115713370022</v>
      </c>
      <c r="S3" s="6">
        <f t="shared" si="6"/>
        <v>9276.0563813305926</v>
      </c>
      <c r="T3" s="6">
        <f>S3*1.03</f>
        <v>9554.3380727705098</v>
      </c>
      <c r="U3" s="6">
        <f t="shared" ref="U3:X3" si="7">T3*1.03</f>
        <v>9840.9682149536256</v>
      </c>
      <c r="V3" s="6">
        <f t="shared" si="7"/>
        <v>10136.197261402234</v>
      </c>
      <c r="W3" s="6">
        <f t="shared" si="7"/>
        <v>10440.283179244301</v>
      </c>
      <c r="X3" s="6">
        <f t="shared" si="7"/>
        <v>10753.491674621631</v>
      </c>
    </row>
    <row r="4" spans="1:24" x14ac:dyDescent="0.2">
      <c r="B4" s="6" t="s">
        <v>50</v>
      </c>
      <c r="J4" s="8"/>
      <c r="K4" s="8"/>
      <c r="L4" s="6">
        <v>4552.8</v>
      </c>
      <c r="M4" s="6">
        <v>5944.8</v>
      </c>
      <c r="N4" s="6">
        <v>7164.8</v>
      </c>
      <c r="O4" s="6">
        <f>N4*1.1</f>
        <v>7881.2800000000007</v>
      </c>
      <c r="P4" s="6">
        <f t="shared" ref="P4:S4" si="8">O4*1.1</f>
        <v>8669.4080000000013</v>
      </c>
      <c r="Q4" s="6">
        <f t="shared" si="8"/>
        <v>9536.3488000000016</v>
      </c>
      <c r="R4" s="6">
        <f t="shared" si="8"/>
        <v>10489.983680000003</v>
      </c>
      <c r="S4" s="6">
        <f t="shared" si="8"/>
        <v>11538.982048000003</v>
      </c>
      <c r="T4" s="6">
        <f>S4*1.05</f>
        <v>12115.931150400003</v>
      </c>
      <c r="U4" s="6">
        <f t="shared" ref="U4:X4" si="9">T4*1.05</f>
        <v>12721.727707920005</v>
      </c>
      <c r="V4" s="6">
        <f t="shared" si="9"/>
        <v>13357.814093316005</v>
      </c>
      <c r="W4" s="6">
        <f t="shared" si="9"/>
        <v>14025.704797981805</v>
      </c>
      <c r="X4" s="6">
        <f t="shared" si="9"/>
        <v>14726.990037880896</v>
      </c>
    </row>
    <row r="5" spans="1:24" x14ac:dyDescent="0.2">
      <c r="B5" s="6" t="s">
        <v>51</v>
      </c>
      <c r="L5" s="6">
        <v>164.4</v>
      </c>
      <c r="M5" s="6">
        <v>157.19999999999999</v>
      </c>
      <c r="N5" s="6">
        <v>143.30000000000001</v>
      </c>
      <c r="O5" s="6">
        <f>N5*1.07</f>
        <v>153.33100000000002</v>
      </c>
      <c r="P5" s="6">
        <f t="shared" ref="P5:S5" si="10">O5*1.07</f>
        <v>164.06417000000002</v>
      </c>
      <c r="Q5" s="6">
        <f t="shared" si="10"/>
        <v>175.54866190000004</v>
      </c>
      <c r="R5" s="6">
        <f t="shared" si="10"/>
        <v>187.83706823300005</v>
      </c>
      <c r="S5" s="6">
        <f t="shared" si="10"/>
        <v>200.98566300931006</v>
      </c>
      <c r="T5" s="6">
        <f t="shared" ref="T5:X5" si="11">S5*1.07</f>
        <v>215.05465941996178</v>
      </c>
      <c r="U5" s="6">
        <f t="shared" si="11"/>
        <v>230.10848557935913</v>
      </c>
      <c r="V5" s="6">
        <f t="shared" si="11"/>
        <v>246.21607956991429</v>
      </c>
      <c r="W5" s="6">
        <f t="shared" si="11"/>
        <v>263.45120513980828</v>
      </c>
      <c r="X5" s="6">
        <f t="shared" si="11"/>
        <v>281.89278949959487</v>
      </c>
    </row>
    <row r="6" spans="1:24" x14ac:dyDescent="0.2">
      <c r="B6" s="6" t="s">
        <v>52</v>
      </c>
      <c r="L6" s="6">
        <v>7112.9</v>
      </c>
      <c r="M6" s="6">
        <v>9498.2999999999993</v>
      </c>
      <c r="N6" s="6">
        <v>10199.200000000001</v>
      </c>
      <c r="O6" s="6">
        <f>N6*1.05</f>
        <v>10709.160000000002</v>
      </c>
      <c r="P6" s="6">
        <f t="shared" ref="P6:S6" si="12">O6*1.05</f>
        <v>11244.618000000002</v>
      </c>
      <c r="Q6" s="6">
        <f t="shared" si="12"/>
        <v>11806.848900000003</v>
      </c>
      <c r="R6" s="6">
        <f t="shared" si="12"/>
        <v>12397.191345000003</v>
      </c>
      <c r="S6" s="6">
        <f t="shared" si="12"/>
        <v>13017.050912250004</v>
      </c>
      <c r="T6" s="6">
        <f>S6*1.02</f>
        <v>13277.391930495005</v>
      </c>
      <c r="U6" s="6">
        <f t="shared" ref="U6:X6" si="13">T6*1.02</f>
        <v>13542.939769104905</v>
      </c>
      <c r="V6" s="6">
        <f t="shared" si="13"/>
        <v>13813.798564487004</v>
      </c>
      <c r="W6" s="6">
        <f t="shared" si="13"/>
        <v>14090.074535776745</v>
      </c>
      <c r="X6" s="6">
        <f t="shared" si="13"/>
        <v>14371.87602649228</v>
      </c>
    </row>
    <row r="7" spans="1:24" x14ac:dyDescent="0.2">
      <c r="B7" s="9" t="s">
        <v>10</v>
      </c>
      <c r="C7" s="9">
        <v>5957</v>
      </c>
      <c r="D7" s="9">
        <v>6155</v>
      </c>
      <c r="E7" s="9">
        <v>5975.8</v>
      </c>
      <c r="F7" s="9"/>
      <c r="G7" s="9"/>
      <c r="H7" s="9"/>
      <c r="I7" s="9"/>
      <c r="J7" s="9"/>
      <c r="K7" s="9"/>
      <c r="L7" s="9">
        <f>SUM(L3:L6)</f>
        <v>17531.64</v>
      </c>
      <c r="M7" s="9">
        <f>SUM(M3:M6)</f>
        <v>21915.599999999999</v>
      </c>
      <c r="N7" s="9">
        <f>SUM(N3:N6)</f>
        <v>24121</v>
      </c>
      <c r="O7" s="9">
        <f>SUM(O3:O6)</f>
        <v>25820.430000000004</v>
      </c>
      <c r="P7" s="9">
        <f t="shared" ref="P7:S7" si="14">SUM(P3:P6)</f>
        <v>27650.115300000005</v>
      </c>
      <c r="Q7" s="9">
        <f t="shared" si="14"/>
        <v>29620.813251000007</v>
      </c>
      <c r="R7" s="9">
        <f t="shared" si="14"/>
        <v>31744.223664570007</v>
      </c>
      <c r="S7" s="9">
        <f t="shared" si="14"/>
        <v>34033.075004589911</v>
      </c>
      <c r="T7" s="9">
        <f t="shared" ref="T7:X7" si="15">SUM(T3:T6)</f>
        <v>35162.71581308548</v>
      </c>
      <c r="U7" s="9">
        <f t="shared" si="15"/>
        <v>36335.744177557892</v>
      </c>
      <c r="V7" s="9">
        <f t="shared" si="15"/>
        <v>37554.025998775156</v>
      </c>
      <c r="W7" s="9">
        <f t="shared" si="15"/>
        <v>38819.513718142654</v>
      </c>
      <c r="X7" s="9">
        <f t="shared" si="15"/>
        <v>40134.250528494405</v>
      </c>
    </row>
    <row r="8" spans="1:24" x14ac:dyDescent="0.2">
      <c r="B8" s="6" t="s">
        <v>49</v>
      </c>
      <c r="L8" s="6">
        <v>3364</v>
      </c>
      <c r="M8" s="6">
        <v>3702</v>
      </c>
      <c r="N8" s="6">
        <v>3881</v>
      </c>
      <c r="O8" s="6">
        <f>O3*(1-O35)</f>
        <v>4094.1902200000004</v>
      </c>
      <c r="P8" s="6">
        <f t="shared" ref="P8:X8" si="16">P3*(1-P35)</f>
        <v>4316.9587035080003</v>
      </c>
      <c r="Q8" s="6">
        <f t="shared" si="16"/>
        <v>4549.4873912266321</v>
      </c>
      <c r="R8" s="6">
        <f t="shared" si="16"/>
        <v>4768.066364235352</v>
      </c>
      <c r="S8" s="6">
        <f t="shared" si="16"/>
        <v>5101.8310097318263</v>
      </c>
      <c r="T8" s="6">
        <f t="shared" si="16"/>
        <v>5254.8859400237807</v>
      </c>
      <c r="U8" s="6">
        <f t="shared" si="16"/>
        <v>5412.5325182244942</v>
      </c>
      <c r="V8" s="6">
        <f t="shared" si="16"/>
        <v>5574.9084937712296</v>
      </c>
      <c r="W8" s="6">
        <f t="shared" si="16"/>
        <v>5742.1557485843659</v>
      </c>
      <c r="X8" s="6">
        <f t="shared" si="16"/>
        <v>5914.4204210418975</v>
      </c>
    </row>
    <row r="9" spans="1:24" x14ac:dyDescent="0.2">
      <c r="B9" s="6" t="s">
        <v>50</v>
      </c>
      <c r="L9" s="6">
        <v>861.8</v>
      </c>
      <c r="M9" s="6">
        <v>1075.0999999999999</v>
      </c>
      <c r="N9" s="6">
        <v>1135.8</v>
      </c>
      <c r="O9" s="6">
        <f t="shared" ref="O9:X10" si="17">O4*(1-O36)</f>
        <v>1182.1920000000002</v>
      </c>
      <c r="P9" s="6">
        <f t="shared" si="17"/>
        <v>1300.4112000000005</v>
      </c>
      <c r="Q9" s="6">
        <f t="shared" si="17"/>
        <v>1430.4523200000006</v>
      </c>
      <c r="R9" s="6">
        <f t="shared" si="17"/>
        <v>1573.4975520000007</v>
      </c>
      <c r="S9" s="6">
        <f t="shared" si="17"/>
        <v>1730.8473072000008</v>
      </c>
      <c r="T9" s="6">
        <f t="shared" si="17"/>
        <v>1817.3896725600007</v>
      </c>
      <c r="U9" s="6">
        <f t="shared" si="17"/>
        <v>1908.259156188001</v>
      </c>
      <c r="V9" s="6">
        <f t="shared" si="17"/>
        <v>2003.6721139974011</v>
      </c>
      <c r="W9" s="6">
        <f t="shared" si="17"/>
        <v>2103.8557196972711</v>
      </c>
      <c r="X9" s="6">
        <f t="shared" si="17"/>
        <v>2209.0485056821349</v>
      </c>
    </row>
    <row r="10" spans="1:24" x14ac:dyDescent="0.2">
      <c r="B10" s="6" t="s">
        <v>51</v>
      </c>
      <c r="L10" s="6">
        <v>287</v>
      </c>
      <c r="M10" s="6">
        <v>267.60000000000002</v>
      </c>
      <c r="N10" s="6">
        <v>236.4</v>
      </c>
      <c r="O10" s="6">
        <f t="shared" si="17"/>
        <v>148.73107000000002</v>
      </c>
      <c r="P10" s="6">
        <f t="shared" si="17"/>
        <v>159.14224490000001</v>
      </c>
      <c r="Q10" s="6">
        <f t="shared" si="17"/>
        <v>170.28220204300004</v>
      </c>
      <c r="R10" s="6">
        <f t="shared" si="17"/>
        <v>182.20195618601005</v>
      </c>
      <c r="S10" s="6">
        <f t="shared" si="17"/>
        <v>194.95609311903075</v>
      </c>
      <c r="T10" s="6">
        <f t="shared" si="17"/>
        <v>208.60301963736293</v>
      </c>
      <c r="U10" s="6">
        <f t="shared" si="17"/>
        <v>223.20523101197836</v>
      </c>
      <c r="V10" s="6">
        <f t="shared" si="17"/>
        <v>238.82959718281685</v>
      </c>
      <c r="W10" s="6">
        <f t="shared" si="17"/>
        <v>255.54766898561402</v>
      </c>
      <c r="X10" s="6">
        <f t="shared" si="17"/>
        <v>273.43600581460703</v>
      </c>
    </row>
    <row r="11" spans="1:24" x14ac:dyDescent="0.2">
      <c r="B11" s="6" t="s">
        <v>52</v>
      </c>
      <c r="L11" s="6">
        <v>6956.7</v>
      </c>
      <c r="M11" s="6">
        <v>9293.1</v>
      </c>
      <c r="N11" s="6">
        <v>9910.4</v>
      </c>
      <c r="O11" s="6">
        <f>N11*(1+O37)</f>
        <v>10207.712</v>
      </c>
      <c r="P11" s="6">
        <f t="shared" ref="P11:X11" si="18">O11*(1+P37)</f>
        <v>10513.943359999999</v>
      </c>
      <c r="Q11" s="6">
        <f t="shared" si="18"/>
        <v>10829.361660799999</v>
      </c>
      <c r="R11" s="6">
        <f t="shared" si="18"/>
        <v>11154.242510623999</v>
      </c>
      <c r="S11" s="6">
        <f t="shared" si="18"/>
        <v>11488.869785942719</v>
      </c>
      <c r="T11" s="6">
        <f t="shared" si="18"/>
        <v>11833.535879521001</v>
      </c>
      <c r="U11" s="6">
        <f t="shared" si="18"/>
        <v>12188.541955906632</v>
      </c>
      <c r="V11" s="6">
        <f t="shared" si="18"/>
        <v>12554.198214583832</v>
      </c>
      <c r="W11" s="6">
        <f t="shared" si="18"/>
        <v>12930.824161021348</v>
      </c>
      <c r="X11" s="6">
        <f t="shared" si="18"/>
        <v>13318.748885851988</v>
      </c>
    </row>
    <row r="12" spans="1:24" x14ac:dyDescent="0.2">
      <c r="B12" s="6" t="s">
        <v>53</v>
      </c>
      <c r="L12" s="6">
        <v>70.2</v>
      </c>
      <c r="M12" s="6">
        <v>72.8</v>
      </c>
      <c r="N12" s="6">
        <v>68.3</v>
      </c>
      <c r="O12" s="6">
        <f t="shared" ref="O12:X12" si="19">N12*(1+O39)</f>
        <v>73.112033870900888</v>
      </c>
      <c r="P12" s="6">
        <f t="shared" si="19"/>
        <v>78.292893121761125</v>
      </c>
      <c r="Q12" s="6">
        <f t="shared" si="19"/>
        <v>83.873037811172836</v>
      </c>
      <c r="R12" s="6">
        <f t="shared" si="19"/>
        <v>89.885596629083821</v>
      </c>
      <c r="S12" s="6">
        <f t="shared" si="19"/>
        <v>96.366610953670673</v>
      </c>
      <c r="T12" s="6">
        <f t="shared" si="19"/>
        <v>99.565253929511115</v>
      </c>
      <c r="U12" s="6">
        <f t="shared" si="19"/>
        <v>102.88675126765902</v>
      </c>
      <c r="V12" s="6">
        <f t="shared" si="19"/>
        <v>106.33638637354763</v>
      </c>
      <c r="W12" s="6">
        <f t="shared" si="19"/>
        <v>109.91968769740652</v>
      </c>
      <c r="X12" s="6">
        <f t="shared" si="19"/>
        <v>113.64244065735944</v>
      </c>
    </row>
    <row r="13" spans="1:24" x14ac:dyDescent="0.2">
      <c r="B13" s="6" t="s">
        <v>19</v>
      </c>
      <c r="L13" s="6">
        <f t="shared" ref="L13:S13" si="20">SUM(L8:L12)</f>
        <v>11539.7</v>
      </c>
      <c r="M13" s="6">
        <f t="shared" si="20"/>
        <v>14410.6</v>
      </c>
      <c r="N13" s="6">
        <f t="shared" si="20"/>
        <v>15231.899999999998</v>
      </c>
      <c r="O13" s="6">
        <f t="shared" si="20"/>
        <v>15705.937323870901</v>
      </c>
      <c r="P13" s="6">
        <f t="shared" si="20"/>
        <v>16368.748401529761</v>
      </c>
      <c r="Q13" s="6">
        <f t="shared" si="20"/>
        <v>17063.456611880803</v>
      </c>
      <c r="R13" s="6">
        <f t="shared" si="20"/>
        <v>17767.893979674445</v>
      </c>
      <c r="S13" s="6">
        <f t="shared" si="20"/>
        <v>18612.870806947249</v>
      </c>
      <c r="T13" s="6">
        <f t="shared" ref="T13:X13" si="21">SUM(T8:T12)</f>
        <v>19213.979765671658</v>
      </c>
      <c r="U13" s="6">
        <f t="shared" si="21"/>
        <v>19835.425612598763</v>
      </c>
      <c r="V13" s="6">
        <f t="shared" si="21"/>
        <v>20477.944805908824</v>
      </c>
      <c r="W13" s="6">
        <f t="shared" si="21"/>
        <v>21142.302985986003</v>
      </c>
      <c r="X13" s="6">
        <f t="shared" si="21"/>
        <v>21829.296259047987</v>
      </c>
    </row>
    <row r="14" spans="1:24" x14ac:dyDescent="0.2">
      <c r="B14" s="6" t="s">
        <v>44</v>
      </c>
      <c r="N14" s="8"/>
    </row>
    <row r="15" spans="1:24" x14ac:dyDescent="0.2">
      <c r="B15" s="6" t="s">
        <v>45</v>
      </c>
    </row>
    <row r="16" spans="1:24" x14ac:dyDescent="0.2">
      <c r="B16" s="6" t="s">
        <v>20</v>
      </c>
      <c r="L16" s="6">
        <f>L7-L13</f>
        <v>5991.9399999999987</v>
      </c>
      <c r="M16" s="6">
        <f>M7-M13</f>
        <v>7504.9999999999982</v>
      </c>
      <c r="N16" s="6">
        <f>N7-N13</f>
        <v>8889.1000000000022</v>
      </c>
      <c r="O16" s="6">
        <f t="shared" ref="O16:S16" si="22">O7-O13</f>
        <v>10114.492676129103</v>
      </c>
      <c r="P16" s="6">
        <f t="shared" si="22"/>
        <v>11281.366898470244</v>
      </c>
      <c r="Q16" s="6">
        <f t="shared" si="22"/>
        <v>12557.356639119203</v>
      </c>
      <c r="R16" s="6">
        <f t="shared" si="22"/>
        <v>13976.329684895562</v>
      </c>
      <c r="S16" s="6">
        <f t="shared" si="22"/>
        <v>15420.204197642663</v>
      </c>
      <c r="T16" s="6">
        <f t="shared" ref="T16:X16" si="23">T7-T13</f>
        <v>15948.736047413822</v>
      </c>
      <c r="U16" s="6">
        <f t="shared" si="23"/>
        <v>16500.318564959129</v>
      </c>
      <c r="V16" s="6">
        <f t="shared" si="23"/>
        <v>17076.081192866332</v>
      </c>
      <c r="W16" s="6">
        <f t="shared" si="23"/>
        <v>17677.210732156651</v>
      </c>
      <c r="X16" s="6">
        <f t="shared" si="23"/>
        <v>18304.954269446418</v>
      </c>
    </row>
    <row r="17" spans="2:84" x14ac:dyDescent="0.2">
      <c r="B17" s="6" t="s">
        <v>30</v>
      </c>
      <c r="L17" s="6">
        <v>2135.6</v>
      </c>
      <c r="M17" s="6">
        <v>2720.8</v>
      </c>
      <c r="N17" s="6">
        <v>2914.4</v>
      </c>
      <c r="O17" s="6">
        <f t="shared" ref="O17:X17" si="24">N17*(1+O39)</f>
        <v>3119.7322329919994</v>
      </c>
      <c r="P17" s="6">
        <f t="shared" si="24"/>
        <v>3340.8024555499364</v>
      </c>
      <c r="Q17" s="6">
        <f t="shared" si="24"/>
        <v>3578.9104157669426</v>
      </c>
      <c r="R17" s="6">
        <f t="shared" si="24"/>
        <v>3835.4697337599118</v>
      </c>
      <c r="S17" s="6">
        <f t="shared" si="24"/>
        <v>4112.0183157156353</v>
      </c>
      <c r="T17" s="6">
        <f t="shared" si="24"/>
        <v>4248.5062379526689</v>
      </c>
      <c r="U17" s="6">
        <f t="shared" si="24"/>
        <v>4390.2364259804617</v>
      </c>
      <c r="V17" s="6">
        <f t="shared" si="24"/>
        <v>4537.4343257257287</v>
      </c>
      <c r="W17" s="6">
        <f t="shared" si="24"/>
        <v>4690.3358393165681</v>
      </c>
      <c r="X17" s="6">
        <f t="shared" si="24"/>
        <v>4849.1878338478537</v>
      </c>
    </row>
    <row r="18" spans="2:84" x14ac:dyDescent="0.2">
      <c r="B18" s="6" t="s">
        <v>31</v>
      </c>
      <c r="L18" s="6">
        <v>2058</v>
      </c>
      <c r="M18" s="6">
        <v>2019</v>
      </c>
      <c r="N18" s="6">
        <v>1984.2</v>
      </c>
      <c r="O18" s="6">
        <f t="shared" ref="O18:X18" si="25">N18*(1+O39)</f>
        <v>2123.9955725716186</v>
      </c>
      <c r="P18" s="6">
        <f t="shared" si="25"/>
        <v>2274.5059814377519</v>
      </c>
      <c r="Q18" s="6">
        <f t="shared" si="25"/>
        <v>2436.6161292083334</v>
      </c>
      <c r="R18" s="6">
        <f t="shared" si="25"/>
        <v>2611.2884455553171</v>
      </c>
      <c r="S18" s="6">
        <f t="shared" si="25"/>
        <v>2799.569977368571</v>
      </c>
      <c r="T18" s="6">
        <f t="shared" si="25"/>
        <v>2892.4945365583603</v>
      </c>
      <c r="U18" s="6">
        <f t="shared" si="25"/>
        <v>2988.9881678666047</v>
      </c>
      <c r="V18" s="6">
        <f t="shared" si="25"/>
        <v>3089.2043607963874</v>
      </c>
      <c r="W18" s="6">
        <f t="shared" si="25"/>
        <v>3193.3037237070876</v>
      </c>
      <c r="X18" s="6">
        <f t="shared" si="25"/>
        <v>3301.4543301952076</v>
      </c>
    </row>
    <row r="19" spans="2:84" x14ac:dyDescent="0.2">
      <c r="B19" s="6" t="s">
        <v>32</v>
      </c>
      <c r="L19" s="6">
        <v>1686.9</v>
      </c>
      <c r="M19" s="6">
        <v>2209.1999999999998</v>
      </c>
      <c r="N19" s="6">
        <v>2149.1</v>
      </c>
      <c r="O19" s="6">
        <f t="shared" ref="O19:X19" si="26">N19*(1+O39)</f>
        <v>2300.5134991501182</v>
      </c>
      <c r="P19" s="6">
        <f t="shared" si="26"/>
        <v>2463.5323075838478</v>
      </c>
      <c r="Q19" s="6">
        <f t="shared" si="26"/>
        <v>2639.1148691067574</v>
      </c>
      <c r="R19" s="6">
        <f t="shared" si="26"/>
        <v>2828.3035975924454</v>
      </c>
      <c r="S19" s="6">
        <f t="shared" si="26"/>
        <v>3032.2325563767731</v>
      </c>
      <c r="T19" s="6">
        <f t="shared" si="26"/>
        <v>3132.8797543178962</v>
      </c>
      <c r="U19" s="6">
        <f t="shared" si="26"/>
        <v>3237.392637618243</v>
      </c>
      <c r="V19" s="6">
        <f t="shared" si="26"/>
        <v>3345.937451762682</v>
      </c>
      <c r="W19" s="6">
        <f t="shared" si="26"/>
        <v>3458.6881527159053</v>
      </c>
      <c r="X19" s="6">
        <f t="shared" si="26"/>
        <v>3575.8267820897681</v>
      </c>
    </row>
    <row r="20" spans="2:84" x14ac:dyDescent="0.2">
      <c r="B20" s="6" t="s">
        <v>55</v>
      </c>
      <c r="L20" s="6">
        <v>550.70000000000005</v>
      </c>
      <c r="M20" s="6">
        <v>660.7</v>
      </c>
      <c r="N20" s="6">
        <v>794.2</v>
      </c>
      <c r="O20" s="6">
        <f t="shared" ref="O20:X20" si="27">N20*(1+O39)</f>
        <v>850.15486530409203</v>
      </c>
      <c r="P20" s="6">
        <f t="shared" si="27"/>
        <v>910.39847316695011</v>
      </c>
      <c r="Q20" s="6">
        <f t="shared" si="27"/>
        <v>975.28501653928959</v>
      </c>
      <c r="R20" s="6">
        <f t="shared" si="27"/>
        <v>1045.1997195141785</v>
      </c>
      <c r="S20" s="6">
        <f t="shared" si="27"/>
        <v>1120.5616752475148</v>
      </c>
      <c r="T20" s="6">
        <f t="shared" si="27"/>
        <v>1157.755851695721</v>
      </c>
      <c r="U20" s="6">
        <f t="shared" si="27"/>
        <v>1196.3785923393093</v>
      </c>
      <c r="V20" s="6">
        <f t="shared" si="27"/>
        <v>1236.4913332045614</v>
      </c>
      <c r="W20" s="6">
        <f t="shared" si="27"/>
        <v>1278.1583597259191</v>
      </c>
      <c r="X20" s="6">
        <f t="shared" si="27"/>
        <v>1321.4469453890906</v>
      </c>
    </row>
    <row r="21" spans="2:84" x14ac:dyDescent="0.2">
      <c r="B21" s="6" t="s">
        <v>53</v>
      </c>
      <c r="L21" s="6">
        <v>138.69999999999999</v>
      </c>
      <c r="M21" s="6">
        <v>174</v>
      </c>
      <c r="N21" s="6">
        <v>154.69999999999999</v>
      </c>
      <c r="O21" s="6">
        <f t="shared" ref="O21:X21" si="28">N21*(1+O39)</f>
        <v>165.59929194477843</v>
      </c>
      <c r="P21" s="6">
        <f t="shared" si="28"/>
        <v>177.33397607520419</v>
      </c>
      <c r="Q21" s="6">
        <f t="shared" si="28"/>
        <v>189.97304464697569</v>
      </c>
      <c r="R21" s="6">
        <f t="shared" si="28"/>
        <v>203.59153438534801</v>
      </c>
      <c r="S21" s="6">
        <f t="shared" si="28"/>
        <v>218.27107927573726</v>
      </c>
      <c r="T21" s="6">
        <f t="shared" si="28"/>
        <v>225.51602903214308</v>
      </c>
      <c r="U21" s="6">
        <f t="shared" si="28"/>
        <v>233.03924481854838</v>
      </c>
      <c r="V21" s="6">
        <f t="shared" si="28"/>
        <v>240.85269358693736</v>
      </c>
      <c r="W21" s="6">
        <f t="shared" si="28"/>
        <v>248.96889731755186</v>
      </c>
      <c r="X21" s="6">
        <f t="shared" si="28"/>
        <v>257.40096002479515</v>
      </c>
    </row>
    <row r="22" spans="2:84" x14ac:dyDescent="0.2">
      <c r="B22" s="6" t="s">
        <v>46</v>
      </c>
      <c r="L22" s="6">
        <f>SUM(L17:L21)</f>
        <v>6569.9</v>
      </c>
      <c r="M22" s="6">
        <f>SUM(M17:M21)</f>
        <v>7783.7</v>
      </c>
      <c r="N22" s="6">
        <f>SUM(N17:N21)</f>
        <v>7996.6</v>
      </c>
      <c r="O22" s="6">
        <f t="shared" ref="O22:X22" si="29">SUM(O17:O21)</f>
        <v>8559.995461962606</v>
      </c>
      <c r="P22" s="6">
        <f t="shared" si="29"/>
        <v>9166.5731938136905</v>
      </c>
      <c r="Q22" s="6">
        <f t="shared" si="29"/>
        <v>9819.8994752682993</v>
      </c>
      <c r="R22" s="6">
        <f t="shared" si="29"/>
        <v>10523.8530308072</v>
      </c>
      <c r="S22" s="6">
        <f t="shared" si="29"/>
        <v>11282.65360398423</v>
      </c>
      <c r="T22" s="6">
        <f t="shared" si="29"/>
        <v>11657.152409556791</v>
      </c>
      <c r="U22" s="6">
        <f t="shared" si="29"/>
        <v>12046.035068623167</v>
      </c>
      <c r="V22" s="6">
        <f t="shared" si="29"/>
        <v>12449.920165076297</v>
      </c>
      <c r="W22" s="6">
        <f t="shared" si="29"/>
        <v>12869.454972783033</v>
      </c>
      <c r="X22" s="6">
        <f t="shared" si="29"/>
        <v>13305.316851546717</v>
      </c>
    </row>
    <row r="23" spans="2:84" x14ac:dyDescent="0.2">
      <c r="B23" s="6" t="s">
        <v>18</v>
      </c>
      <c r="L23" s="6">
        <f>L7-L13-L22</f>
        <v>-577.96000000000095</v>
      </c>
      <c r="M23" s="6">
        <f>M7-M13-M22</f>
        <v>-278.70000000000164</v>
      </c>
      <c r="N23" s="6">
        <f>N7-N13-N22</f>
        <v>892.50000000000182</v>
      </c>
      <c r="O23" s="6">
        <f t="shared" ref="O23:S23" si="30">O7-O13-O22</f>
        <v>1554.4972141664966</v>
      </c>
      <c r="P23" s="6">
        <f t="shared" si="30"/>
        <v>2114.793704656553</v>
      </c>
      <c r="Q23" s="6">
        <f t="shared" si="30"/>
        <v>2737.4571638509042</v>
      </c>
      <c r="R23" s="6">
        <f t="shared" si="30"/>
        <v>3452.4766540883611</v>
      </c>
      <c r="S23" s="6">
        <f t="shared" si="30"/>
        <v>4137.5505936584323</v>
      </c>
      <c r="T23" s="6">
        <f t="shared" ref="T23:X23" si="31">T7-T13-T22</f>
        <v>4291.5836378570311</v>
      </c>
      <c r="U23" s="6">
        <f t="shared" si="31"/>
        <v>4454.2834963359619</v>
      </c>
      <c r="V23" s="6">
        <f t="shared" si="31"/>
        <v>4626.1610277900345</v>
      </c>
      <c r="W23" s="6">
        <f t="shared" si="31"/>
        <v>4807.7557593736183</v>
      </c>
      <c r="X23" s="6">
        <f t="shared" si="31"/>
        <v>4999.6374178997012</v>
      </c>
    </row>
    <row r="24" spans="2:84" x14ac:dyDescent="0.2">
      <c r="B24" s="6" t="s">
        <v>42</v>
      </c>
      <c r="L24" s="6">
        <v>-36.200000000000003</v>
      </c>
      <c r="M24" s="6">
        <v>47.2</v>
      </c>
      <c r="N24" s="6">
        <v>-9.3000000000000007</v>
      </c>
      <c r="O24" s="6">
        <f t="shared" ref="O24:X24" si="32">N50*$AA$30</f>
        <v>16.300600000000014</v>
      </c>
      <c r="P24" s="6">
        <f t="shared" si="32"/>
        <v>46.145758469163447</v>
      </c>
      <c r="Q24" s="6">
        <f t="shared" si="32"/>
        <v>87.20360826855206</v>
      </c>
      <c r="R24" s="6">
        <f t="shared" si="32"/>
        <v>135.22284139458282</v>
      </c>
      <c r="S24" s="6">
        <f t="shared" si="32"/>
        <v>191.90849342321334</v>
      </c>
      <c r="T24" s="6">
        <f t="shared" si="32"/>
        <v>260.31394699910334</v>
      </c>
      <c r="U24" s="6">
        <f t="shared" si="32"/>
        <v>332.23392883983024</v>
      </c>
      <c r="V24" s="6">
        <f t="shared" si="32"/>
        <v>407.86090415760782</v>
      </c>
      <c r="W24" s="6">
        <f t="shared" si="32"/>
        <v>487.3984506823806</v>
      </c>
      <c r="X24" s="6">
        <f t="shared" si="32"/>
        <v>571.06188720126534</v>
      </c>
    </row>
    <row r="25" spans="2:84" x14ac:dyDescent="0.2">
      <c r="B25" s="6" t="s">
        <v>43</v>
      </c>
      <c r="L25" s="6">
        <f>SUM(L23:L24)</f>
        <v>-614.16000000000099</v>
      </c>
      <c r="M25" s="6">
        <f>SUM(M23:M24)</f>
        <v>-231.50000000000165</v>
      </c>
      <c r="N25" s="6">
        <f>SUM(N23:N24)</f>
        <v>883.20000000000186</v>
      </c>
      <c r="O25" s="6">
        <f t="shared" ref="O25:S25" si="33">SUM(O23:O24)</f>
        <v>1570.7978141664967</v>
      </c>
      <c r="P25" s="6">
        <f t="shared" si="33"/>
        <v>2160.9394631257164</v>
      </c>
      <c r="Q25" s="6">
        <f t="shared" si="33"/>
        <v>2824.6607721194564</v>
      </c>
      <c r="R25" s="6">
        <f t="shared" si="33"/>
        <v>3587.6994954829438</v>
      </c>
      <c r="S25" s="6">
        <f t="shared" si="33"/>
        <v>4329.4590870816455</v>
      </c>
      <c r="T25" s="6">
        <f t="shared" ref="T25:X25" si="34">SUM(T23:T24)</f>
        <v>4551.8975848561349</v>
      </c>
      <c r="U25" s="6">
        <f t="shared" si="34"/>
        <v>4786.5174251757926</v>
      </c>
      <c r="V25" s="6">
        <f t="shared" si="34"/>
        <v>5034.0219319476419</v>
      </c>
      <c r="W25" s="6">
        <f t="shared" si="34"/>
        <v>5295.1542100559991</v>
      </c>
      <c r="X25" s="6">
        <f t="shared" si="34"/>
        <v>5570.6993051009667</v>
      </c>
    </row>
    <row r="26" spans="2:84" x14ac:dyDescent="0.2">
      <c r="B26" s="6" t="s">
        <v>33</v>
      </c>
      <c r="L26" s="6">
        <v>-12.3</v>
      </c>
      <c r="M26" s="6">
        <v>-8</v>
      </c>
      <c r="N26" s="6">
        <v>-1509.3</v>
      </c>
      <c r="O26" s="6">
        <f>O33*O25</f>
        <v>78.539890708324833</v>
      </c>
      <c r="P26" s="6">
        <f>P33*P25</f>
        <v>108.04697315628583</v>
      </c>
      <c r="Q26" s="6">
        <f>Q33*Q25</f>
        <v>423.69911581791843</v>
      </c>
      <c r="R26" s="6">
        <f>R33*R25</f>
        <v>753.41689405141813</v>
      </c>
      <c r="S26" s="6">
        <f>S33*S25</f>
        <v>909.18640828714558</v>
      </c>
      <c r="T26" s="6">
        <f t="shared" ref="T26:X26" si="35">T33*T25</f>
        <v>955.89849281978832</v>
      </c>
      <c r="U26" s="6">
        <f t="shared" si="35"/>
        <v>1005.1686592869164</v>
      </c>
      <c r="V26" s="6">
        <f t="shared" si="35"/>
        <v>1057.1446057090047</v>
      </c>
      <c r="W26" s="6">
        <f t="shared" si="35"/>
        <v>1111.9823841117598</v>
      </c>
      <c r="X26" s="6">
        <f t="shared" si="35"/>
        <v>1169.8468540712029</v>
      </c>
    </row>
    <row r="27" spans="2:84" s="9" customFormat="1" x14ac:dyDescent="0.2">
      <c r="B27" s="9" t="s">
        <v>11</v>
      </c>
      <c r="L27" s="9">
        <f>L25-L26</f>
        <v>-601.86000000000104</v>
      </c>
      <c r="M27" s="9">
        <f>M25-M26</f>
        <v>-223.50000000000165</v>
      </c>
      <c r="N27" s="9">
        <f>N25-N26</f>
        <v>2392.5000000000018</v>
      </c>
      <c r="O27" s="9">
        <f t="shared" ref="O27:X27" si="36">O25-O26</f>
        <v>1492.2579234581717</v>
      </c>
      <c r="P27" s="9">
        <f t="shared" si="36"/>
        <v>2052.8924899694307</v>
      </c>
      <c r="Q27" s="9">
        <f t="shared" si="36"/>
        <v>2400.9616563015379</v>
      </c>
      <c r="R27" s="9">
        <f t="shared" si="36"/>
        <v>2834.2826014315256</v>
      </c>
      <c r="S27" s="9">
        <f t="shared" si="36"/>
        <v>3420.2726787944998</v>
      </c>
      <c r="T27" s="9">
        <f t="shared" si="36"/>
        <v>3595.9990920363466</v>
      </c>
      <c r="U27" s="9">
        <f t="shared" si="36"/>
        <v>3781.3487658888762</v>
      </c>
      <c r="V27" s="9">
        <f t="shared" si="36"/>
        <v>3976.8773262386371</v>
      </c>
      <c r="W27" s="9">
        <f t="shared" si="36"/>
        <v>4183.1718259442396</v>
      </c>
      <c r="X27" s="9">
        <f t="shared" si="36"/>
        <v>4400.8524510297639</v>
      </c>
      <c r="Y27" s="9">
        <f t="shared" ref="Y27:BD27" si="37">X27*(1+$AA$31)</f>
        <v>4444.8609755400612</v>
      </c>
      <c r="Z27" s="9">
        <f t="shared" si="37"/>
        <v>4489.3095852954621</v>
      </c>
      <c r="AA27" s="9">
        <f t="shared" si="37"/>
        <v>4534.2026811484166</v>
      </c>
      <c r="AB27" s="9">
        <f t="shared" si="37"/>
        <v>4579.5447079599007</v>
      </c>
      <c r="AC27" s="9">
        <f t="shared" si="37"/>
        <v>4625.3401550395001</v>
      </c>
      <c r="AD27" s="9">
        <f t="shared" si="37"/>
        <v>4671.5935565898953</v>
      </c>
      <c r="AE27" s="9">
        <f t="shared" si="37"/>
        <v>4718.309492155794</v>
      </c>
      <c r="AF27" s="9">
        <f t="shared" si="37"/>
        <v>4765.4925870773523</v>
      </c>
      <c r="AG27" s="9">
        <f t="shared" si="37"/>
        <v>4813.147512948126</v>
      </c>
      <c r="AH27" s="9">
        <f t="shared" si="37"/>
        <v>4861.2789880776072</v>
      </c>
      <c r="AI27" s="9">
        <f t="shared" si="37"/>
        <v>4909.8917779583835</v>
      </c>
      <c r="AJ27" s="9">
        <f t="shared" si="37"/>
        <v>4958.9906957379671</v>
      </c>
      <c r="AK27" s="9">
        <f t="shared" si="37"/>
        <v>5008.5806026953469</v>
      </c>
      <c r="AL27" s="9">
        <f t="shared" si="37"/>
        <v>5058.6664087223007</v>
      </c>
      <c r="AM27" s="9">
        <f t="shared" si="37"/>
        <v>5109.2530728095235</v>
      </c>
      <c r="AN27" s="9">
        <f t="shared" si="37"/>
        <v>5160.3456035376184</v>
      </c>
      <c r="AO27" s="9">
        <f t="shared" si="37"/>
        <v>5211.9490595729949</v>
      </c>
      <c r="AP27" s="9">
        <f t="shared" si="37"/>
        <v>5264.0685501687249</v>
      </c>
      <c r="AQ27" s="9">
        <f t="shared" si="37"/>
        <v>5316.7092356704125</v>
      </c>
      <c r="AR27" s="9">
        <f t="shared" si="37"/>
        <v>5369.8763280271169</v>
      </c>
      <c r="AS27" s="9">
        <f t="shared" si="37"/>
        <v>5423.575091307388</v>
      </c>
      <c r="AT27" s="9">
        <f t="shared" si="37"/>
        <v>5477.8108422204623</v>
      </c>
      <c r="AU27" s="9">
        <f t="shared" si="37"/>
        <v>5532.5889506426665</v>
      </c>
      <c r="AV27" s="9">
        <f t="shared" si="37"/>
        <v>5587.9148401490929</v>
      </c>
      <c r="AW27" s="9">
        <f t="shared" si="37"/>
        <v>5643.7939885505839</v>
      </c>
      <c r="AX27" s="9">
        <f t="shared" si="37"/>
        <v>5700.2319284360901</v>
      </c>
      <c r="AY27" s="9">
        <f t="shared" si="37"/>
        <v>5757.2342477204511</v>
      </c>
      <c r="AZ27" s="9">
        <f t="shared" si="37"/>
        <v>5814.8065901976561</v>
      </c>
      <c r="BA27" s="9">
        <f t="shared" si="37"/>
        <v>5872.9546560996323</v>
      </c>
      <c r="BB27" s="9">
        <f t="shared" si="37"/>
        <v>5931.6842026606291</v>
      </c>
      <c r="BC27" s="9">
        <f t="shared" si="37"/>
        <v>5991.0010446872357</v>
      </c>
      <c r="BD27" s="9">
        <f t="shared" si="37"/>
        <v>6050.9110551341082</v>
      </c>
      <c r="BE27" s="9">
        <f t="shared" ref="BE27:CF27" si="38">BD27*(1+$AA$31)</f>
        <v>6111.4201656854493</v>
      </c>
      <c r="BF27" s="9">
        <f t="shared" si="38"/>
        <v>6172.534367342304</v>
      </c>
      <c r="BG27" s="9">
        <f t="shared" si="38"/>
        <v>6234.2597110157267</v>
      </c>
      <c r="BH27" s="9">
        <f t="shared" si="38"/>
        <v>6296.6023081258836</v>
      </c>
      <c r="BI27" s="9">
        <f t="shared" si="38"/>
        <v>6359.5683312071424</v>
      </c>
      <c r="BJ27" s="9">
        <f t="shared" si="38"/>
        <v>6423.1640145192141</v>
      </c>
      <c r="BK27" s="9">
        <f t="shared" si="38"/>
        <v>6487.3956546644067</v>
      </c>
      <c r="BL27" s="9">
        <f t="shared" si="38"/>
        <v>6552.2696112110507</v>
      </c>
      <c r="BM27" s="9">
        <f t="shared" si="38"/>
        <v>6617.7923073231614</v>
      </c>
      <c r="BN27" s="9">
        <f t="shared" si="38"/>
        <v>6683.9702303963932</v>
      </c>
      <c r="BO27" s="9">
        <f t="shared" si="38"/>
        <v>6750.8099327003574</v>
      </c>
      <c r="BP27" s="9">
        <f t="shared" si="38"/>
        <v>6818.3180320273614</v>
      </c>
      <c r="BQ27" s="9">
        <f t="shared" si="38"/>
        <v>6886.5012123476354</v>
      </c>
      <c r="BR27" s="9">
        <f t="shared" si="38"/>
        <v>6955.3662244711122</v>
      </c>
      <c r="BS27" s="9">
        <f t="shared" si="38"/>
        <v>7024.9198867158238</v>
      </c>
      <c r="BT27" s="9">
        <f t="shared" si="38"/>
        <v>7095.169085582982</v>
      </c>
      <c r="BU27" s="9">
        <f t="shared" si="38"/>
        <v>7166.1207764388118</v>
      </c>
      <c r="BV27" s="9">
        <f t="shared" si="38"/>
        <v>7237.7819842032004</v>
      </c>
      <c r="BW27" s="9">
        <f t="shared" si="38"/>
        <v>7310.1598040452327</v>
      </c>
      <c r="BX27" s="9">
        <f t="shared" si="38"/>
        <v>7383.2614020856854</v>
      </c>
      <c r="BY27" s="9">
        <f t="shared" si="38"/>
        <v>7457.0940161065428</v>
      </c>
      <c r="BZ27" s="9">
        <f t="shared" si="38"/>
        <v>7531.6649562676084</v>
      </c>
      <c r="CA27" s="9">
        <f t="shared" si="38"/>
        <v>7606.9816058302849</v>
      </c>
      <c r="CB27" s="9">
        <f t="shared" si="38"/>
        <v>7683.0514218885883</v>
      </c>
      <c r="CC27" s="9">
        <f t="shared" si="38"/>
        <v>7759.8819361074738</v>
      </c>
      <c r="CD27" s="9">
        <f t="shared" si="38"/>
        <v>7837.4807554685485</v>
      </c>
      <c r="CE27" s="9">
        <f t="shared" si="38"/>
        <v>7915.855563023234</v>
      </c>
      <c r="CF27" s="9">
        <f t="shared" si="38"/>
        <v>7995.0141186534665</v>
      </c>
    </row>
    <row r="28" spans="2:84" s="9" customFormat="1" x14ac:dyDescent="0.2">
      <c r="B28" s="10" t="s">
        <v>40</v>
      </c>
      <c r="C28" s="6"/>
      <c r="D28" s="6"/>
      <c r="E28" s="6"/>
      <c r="F28" s="6"/>
      <c r="G28" s="6"/>
      <c r="H28" s="6"/>
      <c r="I28" s="6"/>
      <c r="J28" s="6"/>
      <c r="K28" s="6"/>
      <c r="L28" s="10">
        <f>L27/L29</f>
        <v>-1.0376896551724155</v>
      </c>
      <c r="M28" s="10">
        <f>M27/M29</f>
        <v>-0.37250000000000277</v>
      </c>
      <c r="N28" s="10">
        <f>N27/Main!$N$3</f>
        <v>3.8902439024390274</v>
      </c>
      <c r="O28" s="10">
        <f>O27/O29</f>
        <v>2.4107559345043161</v>
      </c>
      <c r="P28" s="10">
        <f>P27/P29</f>
        <v>3.3164660581089347</v>
      </c>
      <c r="Q28" s="10">
        <f>Q27/Q29</f>
        <v>3.8787748890170239</v>
      </c>
      <c r="R28" s="10">
        <f>R27/R29</f>
        <v>4.5788087260606227</v>
      </c>
      <c r="S28" s="10">
        <f>S27/S29</f>
        <v>5.5254809027374794</v>
      </c>
      <c r="T28" s="10">
        <f t="shared" ref="T28:X28" si="39">T27/T29</f>
        <v>5.809368484711384</v>
      </c>
      <c r="U28" s="10">
        <f t="shared" si="39"/>
        <v>6.1088025297073925</v>
      </c>
      <c r="V28" s="10">
        <f t="shared" si="39"/>
        <v>6.4246806562821277</v>
      </c>
      <c r="W28" s="10">
        <f t="shared" si="39"/>
        <v>6.7579512535448139</v>
      </c>
      <c r="X28" s="10">
        <f t="shared" si="39"/>
        <v>7.1096162375278897</v>
      </c>
    </row>
    <row r="29" spans="2:84" x14ac:dyDescent="0.2">
      <c r="B29" s="6" t="s">
        <v>1</v>
      </c>
      <c r="L29" s="6">
        <v>580</v>
      </c>
      <c r="M29" s="6">
        <v>600</v>
      </c>
      <c r="N29" s="6">
        <v>619</v>
      </c>
      <c r="O29" s="6">
        <f>N29</f>
        <v>619</v>
      </c>
      <c r="P29" s="6">
        <f t="shared" ref="P29:X29" si="40">O29</f>
        <v>619</v>
      </c>
      <c r="Q29" s="6">
        <f t="shared" si="40"/>
        <v>619</v>
      </c>
      <c r="R29" s="6">
        <f t="shared" si="40"/>
        <v>619</v>
      </c>
      <c r="S29" s="6">
        <f t="shared" si="40"/>
        <v>619</v>
      </c>
      <c r="T29" s="6">
        <f t="shared" si="40"/>
        <v>619</v>
      </c>
      <c r="U29" s="6">
        <f t="shared" si="40"/>
        <v>619</v>
      </c>
      <c r="V29" s="6">
        <f t="shared" si="40"/>
        <v>619</v>
      </c>
      <c r="W29" s="6">
        <f t="shared" si="40"/>
        <v>619</v>
      </c>
      <c r="X29" s="6">
        <f t="shared" si="40"/>
        <v>619</v>
      </c>
    </row>
    <row r="30" spans="2:84" x14ac:dyDescent="0.2">
      <c r="Z30" s="6" t="s">
        <v>35</v>
      </c>
      <c r="AA30" s="11">
        <v>0.02</v>
      </c>
    </row>
    <row r="31" spans="2:84" x14ac:dyDescent="0.2">
      <c r="B31" s="6" t="s">
        <v>12</v>
      </c>
      <c r="L31" s="8">
        <f t="shared" ref="L31:S31" si="41">L16/L7</f>
        <v>0.34177863565530658</v>
      </c>
      <c r="M31" s="8">
        <f t="shared" si="41"/>
        <v>0.34245012685028009</v>
      </c>
      <c r="N31" s="8">
        <f t="shared" si="41"/>
        <v>0.36852120558849144</v>
      </c>
      <c r="O31" s="8">
        <f t="shared" si="41"/>
        <v>0.39172440877743325</v>
      </c>
      <c r="P31" s="8">
        <f t="shared" si="41"/>
        <v>0.40800433474034165</v>
      </c>
      <c r="Q31" s="8">
        <f t="shared" si="41"/>
        <v>0.4239369301818634</v>
      </c>
      <c r="R31" s="8">
        <f t="shared" si="41"/>
        <v>0.44027946099984988</v>
      </c>
      <c r="S31" s="8">
        <f t="shared" si="41"/>
        <v>0.45309464970658686</v>
      </c>
      <c r="T31" s="8">
        <f t="shared" ref="T31:X31" si="42">T16/T7</f>
        <v>0.45356951755923947</v>
      </c>
      <c r="U31" s="8">
        <f t="shared" si="42"/>
        <v>0.45410707661108668</v>
      </c>
      <c r="V31" s="8">
        <f t="shared" si="42"/>
        <v>0.45470707171112029</v>
      </c>
      <c r="W31" s="8">
        <f t="shared" si="42"/>
        <v>0.45536919551609545</v>
      </c>
      <c r="X31" s="8">
        <f t="shared" si="42"/>
        <v>0.45609308828254602</v>
      </c>
      <c r="Z31" s="6" t="s">
        <v>34</v>
      </c>
      <c r="AA31" s="11">
        <v>0.01</v>
      </c>
    </row>
    <row r="32" spans="2:84" x14ac:dyDescent="0.2">
      <c r="B32" s="6" t="s">
        <v>13</v>
      </c>
      <c r="L32" s="8">
        <f t="shared" ref="L32:S32" si="43">L27/L7</f>
        <v>-3.432993148387721E-2</v>
      </c>
      <c r="M32" s="8">
        <f t="shared" si="43"/>
        <v>-1.0198214970158319E-2</v>
      </c>
      <c r="N32" s="8">
        <f t="shared" si="43"/>
        <v>9.9187430040213992E-2</v>
      </c>
      <c r="O32" s="8">
        <f t="shared" si="43"/>
        <v>5.7793689859470643E-2</v>
      </c>
      <c r="P32" s="8">
        <f t="shared" si="43"/>
        <v>7.4245350071629912E-2</v>
      </c>
      <c r="Q32" s="8">
        <f t="shared" si="43"/>
        <v>8.1056574509158041E-2</v>
      </c>
      <c r="R32" s="8">
        <f t="shared" si="43"/>
        <v>8.9284987132789512E-2</v>
      </c>
      <c r="S32" s="8">
        <f t="shared" si="43"/>
        <v>0.10049849090431061</v>
      </c>
      <c r="T32" s="8">
        <f t="shared" ref="T32:X32" si="44">T27/T7</f>
        <v>0.10226738773966169</v>
      </c>
      <c r="U32" s="8">
        <f t="shared" si="44"/>
        <v>0.10406691403954668</v>
      </c>
      <c r="V32" s="8">
        <f t="shared" si="44"/>
        <v>0.10589749621966883</v>
      </c>
      <c r="W32" s="8">
        <f t="shared" si="44"/>
        <v>0.10775951126840613</v>
      </c>
      <c r="X32" s="8">
        <f t="shared" si="44"/>
        <v>0.1096532859858753</v>
      </c>
      <c r="Z32" s="6" t="s">
        <v>36</v>
      </c>
      <c r="AA32" s="11">
        <v>0.09</v>
      </c>
    </row>
    <row r="33" spans="2:125" x14ac:dyDescent="0.2">
      <c r="B33" s="6" t="s">
        <v>54</v>
      </c>
      <c r="L33" s="8">
        <f>L26/L25</f>
        <v>2.0027354435326269E-2</v>
      </c>
      <c r="M33" s="8">
        <f>M26/M25</f>
        <v>3.4557235421166059E-2</v>
      </c>
      <c r="N33" s="8">
        <f>N26/N25</f>
        <v>-1.7088994565217355</v>
      </c>
      <c r="O33" s="8">
        <v>0.05</v>
      </c>
      <c r="P33" s="8">
        <v>0.05</v>
      </c>
      <c r="Q33" s="8">
        <v>0.15</v>
      </c>
      <c r="R33" s="8">
        <v>0.21</v>
      </c>
      <c r="S33" s="8">
        <v>0.21</v>
      </c>
      <c r="T33" s="8">
        <v>0.21</v>
      </c>
      <c r="U33" s="8">
        <v>0.21</v>
      </c>
      <c r="V33" s="8">
        <v>0.21</v>
      </c>
      <c r="W33" s="8">
        <v>0.21</v>
      </c>
      <c r="X33" s="8">
        <v>0.21</v>
      </c>
      <c r="Z33" s="6" t="s">
        <v>37</v>
      </c>
      <c r="AA33" s="6">
        <f>NPV(AA32,P48:CG48)+Main!N5-Main!N6</f>
        <v>50035.530846693873</v>
      </c>
    </row>
    <row r="34" spans="2:125" x14ac:dyDescent="0.2"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Z34" s="6" t="s">
        <v>0</v>
      </c>
      <c r="AA34" s="10">
        <f>AA33/Main!N3</f>
        <v>81.358586742591669</v>
      </c>
    </row>
    <row r="35" spans="2:125" x14ac:dyDescent="0.2">
      <c r="B35" s="6" t="s">
        <v>61</v>
      </c>
      <c r="L35" s="8">
        <f>(L3-L8)/L3</f>
        <v>0.40998396924339742</v>
      </c>
      <c r="M35" s="8">
        <f>(M3-M8)/M3</f>
        <v>0.4138045698541637</v>
      </c>
      <c r="N35" s="8">
        <f>(N3-N8)/N3</f>
        <v>0.41318777688737013</v>
      </c>
      <c r="O35" s="8">
        <f>N35*1.02</f>
        <v>0.42145153242511751</v>
      </c>
      <c r="P35" s="8">
        <f t="shared" ref="P35:Q35" si="45">O35*1.02</f>
        <v>0.42988056307361988</v>
      </c>
      <c r="Q35" s="8">
        <f t="shared" si="45"/>
        <v>0.43847817433509229</v>
      </c>
      <c r="R35" s="8">
        <v>0.45</v>
      </c>
      <c r="S35" s="8">
        <v>0.45</v>
      </c>
      <c r="T35" s="8">
        <v>0.45</v>
      </c>
      <c r="U35" s="8">
        <v>0.45</v>
      </c>
      <c r="V35" s="8">
        <v>0.45</v>
      </c>
      <c r="W35" s="8">
        <v>0.45</v>
      </c>
      <c r="X35" s="8">
        <v>0.45</v>
      </c>
      <c r="Z35" s="6" t="s">
        <v>38</v>
      </c>
      <c r="AA35" s="8">
        <f>AA34/Main!N2-1</f>
        <v>9.944036138637391E-2</v>
      </c>
    </row>
    <row r="36" spans="2:125" x14ac:dyDescent="0.2">
      <c r="B36" s="6" t="s">
        <v>62</v>
      </c>
      <c r="L36" s="8">
        <f t="shared" ref="L36:N36" si="46">(L4-L9)/L4</f>
        <v>0.81070989281321382</v>
      </c>
      <c r="M36" s="8">
        <f t="shared" si="46"/>
        <v>0.81915287309917917</v>
      </c>
      <c r="N36" s="8">
        <f t="shared" si="46"/>
        <v>0.84147498883430105</v>
      </c>
      <c r="O36" s="8">
        <v>0.85</v>
      </c>
      <c r="P36" s="8">
        <v>0.85</v>
      </c>
      <c r="Q36" s="8">
        <v>0.85</v>
      </c>
      <c r="R36" s="8">
        <v>0.85</v>
      </c>
      <c r="S36" s="8">
        <v>0.85</v>
      </c>
      <c r="T36" s="8">
        <v>0.85</v>
      </c>
      <c r="U36" s="8">
        <v>0.85</v>
      </c>
      <c r="V36" s="8">
        <v>0.85</v>
      </c>
      <c r="W36" s="8">
        <v>0.85</v>
      </c>
      <c r="X36" s="8">
        <v>0.85</v>
      </c>
      <c r="AA36" s="8"/>
    </row>
    <row r="37" spans="2:125" x14ac:dyDescent="0.2">
      <c r="B37" s="6" t="s">
        <v>60</v>
      </c>
      <c r="L37" s="8">
        <f>(L6-L11)/L6</f>
        <v>2.1960100662177146E-2</v>
      </c>
      <c r="M37" s="8">
        <f>(M6-M11)/M6</f>
        <v>2.160386595496025E-2</v>
      </c>
      <c r="N37" s="8">
        <f>(N6-N11)/N6</f>
        <v>2.8315946348733339E-2</v>
      </c>
      <c r="O37" s="8">
        <v>0.03</v>
      </c>
      <c r="P37" s="8">
        <v>0.03</v>
      </c>
      <c r="Q37" s="8">
        <v>0.03</v>
      </c>
      <c r="R37" s="8">
        <v>0.03</v>
      </c>
      <c r="S37" s="8">
        <v>0.03</v>
      </c>
      <c r="T37" s="8">
        <v>0.03</v>
      </c>
      <c r="U37" s="8">
        <v>0.03</v>
      </c>
      <c r="V37" s="8">
        <v>0.03</v>
      </c>
      <c r="W37" s="8">
        <v>0.03</v>
      </c>
      <c r="X37" s="8">
        <v>0.03</v>
      </c>
      <c r="AA37" s="8"/>
    </row>
    <row r="38" spans="2:125" x14ac:dyDescent="0.2">
      <c r="M38" s="8"/>
      <c r="O38" s="8"/>
      <c r="P38" s="8"/>
      <c r="Q38" s="8"/>
      <c r="R38" s="8"/>
      <c r="S38" s="8"/>
      <c r="T38" s="8"/>
      <c r="U38" s="8"/>
      <c r="V38" s="8"/>
      <c r="W38" s="8"/>
      <c r="X38" s="8"/>
      <c r="AA38" s="8"/>
    </row>
    <row r="39" spans="2:125" x14ac:dyDescent="0.2">
      <c r="B39" s="9" t="s">
        <v>41</v>
      </c>
      <c r="C39" s="9"/>
      <c r="D39" s="9"/>
      <c r="E39" s="9"/>
      <c r="F39" s="9"/>
      <c r="G39" s="9"/>
      <c r="H39" s="9"/>
      <c r="I39" s="9"/>
      <c r="J39" s="9"/>
      <c r="K39" s="9"/>
      <c r="L39" s="12">
        <v>-0.01</v>
      </c>
      <c r="M39" s="12">
        <f t="shared" ref="M39:X39" si="47">M7/L7-1</f>
        <v>0.25005989171577792</v>
      </c>
      <c r="N39" s="12">
        <f t="shared" si="47"/>
        <v>0.10063151362499778</v>
      </c>
      <c r="O39" s="12">
        <f t="shared" si="47"/>
        <v>7.04543758550642E-2</v>
      </c>
      <c r="P39" s="12">
        <f t="shared" si="47"/>
        <v>7.0861922129104693E-2</v>
      </c>
      <c r="Q39" s="12">
        <f t="shared" si="47"/>
        <v>7.1272684747177184E-2</v>
      </c>
      <c r="R39" s="12">
        <f t="shared" si="47"/>
        <v>7.168643195501434E-2</v>
      </c>
      <c r="S39" s="12">
        <f t="shared" si="47"/>
        <v>7.2102923801362628E-2</v>
      </c>
      <c r="T39" s="12">
        <f t="shared" si="47"/>
        <v>3.3192440246531341E-2</v>
      </c>
      <c r="U39" s="12">
        <f t="shared" si="47"/>
        <v>3.3360004690988099E-2</v>
      </c>
      <c r="V39" s="12">
        <f t="shared" si="47"/>
        <v>3.3528467595544953E-2</v>
      </c>
      <c r="W39" s="12">
        <f t="shared" si="47"/>
        <v>3.3697791001390254E-2</v>
      </c>
      <c r="X39" s="12">
        <f t="shared" si="47"/>
        <v>3.3867936108053165E-2</v>
      </c>
    </row>
    <row r="40" spans="2:125" x14ac:dyDescent="0.2">
      <c r="B40" s="6" t="s">
        <v>47</v>
      </c>
    </row>
    <row r="41" spans="2:125" x14ac:dyDescent="0.2">
      <c r="B41" s="6" t="s">
        <v>48</v>
      </c>
    </row>
    <row r="43" spans="2:125" x14ac:dyDescent="0.2">
      <c r="B43" s="6" t="s">
        <v>25</v>
      </c>
    </row>
    <row r="44" spans="2:125" x14ac:dyDescent="0.2">
      <c r="B44" s="6" t="s">
        <v>26</v>
      </c>
      <c r="L44" s="8">
        <f t="shared" ref="L44:S44" si="48">L32+L39</f>
        <v>-4.4329931483877212E-2</v>
      </c>
      <c r="M44" s="8">
        <f t="shared" si="48"/>
        <v>0.23986167674561959</v>
      </c>
      <c r="N44" s="8">
        <f t="shared" si="48"/>
        <v>0.19981894366521177</v>
      </c>
      <c r="O44" s="8">
        <f t="shared" si="48"/>
        <v>0.12824806571453484</v>
      </c>
      <c r="P44" s="8">
        <f t="shared" si="48"/>
        <v>0.1451072722007346</v>
      </c>
      <c r="Q44" s="8">
        <f t="shared" si="48"/>
        <v>0.15232925925633523</v>
      </c>
      <c r="R44" s="8">
        <f t="shared" si="48"/>
        <v>0.16097141908780385</v>
      </c>
      <c r="S44" s="8">
        <f t="shared" si="48"/>
        <v>0.17260141470567325</v>
      </c>
      <c r="T44" s="8">
        <f t="shared" ref="T44:X44" si="49">T32+T39</f>
        <v>0.13545982798619305</v>
      </c>
      <c r="U44" s="8">
        <f t="shared" si="49"/>
        <v>0.13742691873053478</v>
      </c>
      <c r="V44" s="8">
        <f t="shared" si="49"/>
        <v>0.13942596381521377</v>
      </c>
      <c r="W44" s="8">
        <f t="shared" si="49"/>
        <v>0.14145730226979639</v>
      </c>
      <c r="X44" s="8">
        <f t="shared" si="49"/>
        <v>0.14352122209392848</v>
      </c>
    </row>
    <row r="45" spans="2:125" x14ac:dyDescent="0.2">
      <c r="M45" s="8"/>
      <c r="N45" s="8"/>
      <c r="O45" s="8"/>
      <c r="P45" s="8"/>
      <c r="Q45" s="8"/>
      <c r="R45" s="8"/>
      <c r="S45" s="8"/>
    </row>
    <row r="46" spans="2:125" x14ac:dyDescent="0.2">
      <c r="B46" s="6" t="s">
        <v>14</v>
      </c>
      <c r="C46" s="6">
        <v>489</v>
      </c>
      <c r="D46" s="6">
        <v>519</v>
      </c>
      <c r="E46" s="6">
        <v>685</v>
      </c>
      <c r="F46" s="6">
        <v>14</v>
      </c>
      <c r="L46" s="6">
        <v>175.9</v>
      </c>
      <c r="M46" s="6">
        <v>101</v>
      </c>
      <c r="N46" s="6">
        <v>1707.3</v>
      </c>
    </row>
    <row r="47" spans="2:125" x14ac:dyDescent="0.2">
      <c r="B47" s="6" t="s">
        <v>39</v>
      </c>
      <c r="L47" s="6">
        <v>170.8</v>
      </c>
      <c r="M47" s="6">
        <v>151.1</v>
      </c>
      <c r="N47" s="6">
        <v>154</v>
      </c>
    </row>
    <row r="48" spans="2:125" s="9" customFormat="1" x14ac:dyDescent="0.2">
      <c r="B48" s="9" t="s">
        <v>6</v>
      </c>
      <c r="L48" s="9">
        <f>L46-L47</f>
        <v>5.0999999999999943</v>
      </c>
      <c r="M48" s="9">
        <f t="shared" ref="M48:N48" si="50">M46-M47</f>
        <v>-50.099999999999994</v>
      </c>
      <c r="N48" s="9">
        <f t="shared" si="50"/>
        <v>1553.3</v>
      </c>
      <c r="O48" s="9">
        <f>O27*1.1</f>
        <v>1641.4837158039891</v>
      </c>
      <c r="P48" s="9">
        <f t="shared" ref="P48:X48" si="51">P27*1.1</f>
        <v>2258.1817389663738</v>
      </c>
      <c r="Q48" s="9">
        <f t="shared" si="51"/>
        <v>2641.0578219316917</v>
      </c>
      <c r="R48" s="9">
        <f t="shared" si="51"/>
        <v>3117.7108615746783</v>
      </c>
      <c r="S48" s="9">
        <f t="shared" si="51"/>
        <v>3762.2999466739502</v>
      </c>
      <c r="T48" s="9">
        <f t="shared" si="51"/>
        <v>3955.5990012399816</v>
      </c>
      <c r="U48" s="9">
        <f t="shared" si="51"/>
        <v>4159.4836424777641</v>
      </c>
      <c r="V48" s="9">
        <f t="shared" si="51"/>
        <v>4374.5650588625012</v>
      </c>
      <c r="W48" s="9">
        <f t="shared" si="51"/>
        <v>4601.4890085386642</v>
      </c>
      <c r="X48" s="9">
        <f t="shared" si="51"/>
        <v>4840.9376961327407</v>
      </c>
      <c r="Y48" s="9">
        <f>X48*(1+$AA$31)</f>
        <v>4889.347073094068</v>
      </c>
      <c r="Z48" s="9">
        <f t="shared" ref="Z48:CK48" si="52">Y48*(1+$AA$31)</f>
        <v>4938.2405438250089</v>
      </c>
      <c r="AA48" s="9">
        <f t="shared" si="52"/>
        <v>4987.6229492632592</v>
      </c>
      <c r="AB48" s="9">
        <f t="shared" si="52"/>
        <v>5037.499178755892</v>
      </c>
      <c r="AC48" s="9">
        <f t="shared" si="52"/>
        <v>5087.8741705434513</v>
      </c>
      <c r="AD48" s="9">
        <f t="shared" si="52"/>
        <v>5138.7529122488859</v>
      </c>
      <c r="AE48" s="9">
        <f t="shared" si="52"/>
        <v>5190.1404413713744</v>
      </c>
      <c r="AF48" s="9">
        <f t="shared" si="52"/>
        <v>5242.0418457850883</v>
      </c>
      <c r="AG48" s="9">
        <f t="shared" si="52"/>
        <v>5294.4622642429395</v>
      </c>
      <c r="AH48" s="9">
        <f t="shared" si="52"/>
        <v>5347.4068868853692</v>
      </c>
      <c r="AI48" s="9">
        <f t="shared" si="52"/>
        <v>5400.8809557542227</v>
      </c>
      <c r="AJ48" s="9">
        <f t="shared" si="52"/>
        <v>5454.8897653117647</v>
      </c>
      <c r="AK48" s="9">
        <f t="shared" si="52"/>
        <v>5509.4386629648825</v>
      </c>
      <c r="AL48" s="9">
        <f t="shared" si="52"/>
        <v>5564.5330495945318</v>
      </c>
      <c r="AM48" s="9">
        <f t="shared" si="52"/>
        <v>5620.1783800904768</v>
      </c>
      <c r="AN48" s="9">
        <f t="shared" si="52"/>
        <v>5676.3801638913819</v>
      </c>
      <c r="AO48" s="9">
        <f t="shared" si="52"/>
        <v>5733.1439655302956</v>
      </c>
      <c r="AP48" s="9">
        <f t="shared" si="52"/>
        <v>5790.4754051855989</v>
      </c>
      <c r="AQ48" s="9">
        <f t="shared" si="52"/>
        <v>5848.3801592374548</v>
      </c>
      <c r="AR48" s="9">
        <f t="shared" si="52"/>
        <v>5906.863960829829</v>
      </c>
      <c r="AS48" s="9">
        <f t="shared" si="52"/>
        <v>5965.9326004381273</v>
      </c>
      <c r="AT48" s="9">
        <f t="shared" si="52"/>
        <v>6025.5919264425083</v>
      </c>
      <c r="AU48" s="9">
        <f t="shared" si="52"/>
        <v>6085.8478457069332</v>
      </c>
      <c r="AV48" s="9">
        <f t="shared" si="52"/>
        <v>6146.7063241640026</v>
      </c>
      <c r="AW48" s="9">
        <f t="shared" si="52"/>
        <v>6208.1733874056426</v>
      </c>
      <c r="AX48" s="9">
        <f t="shared" si="52"/>
        <v>6270.2551212796989</v>
      </c>
      <c r="AY48" s="9">
        <f t="shared" si="52"/>
        <v>6332.9576724924955</v>
      </c>
      <c r="AZ48" s="9">
        <f t="shared" si="52"/>
        <v>6396.2872492174201</v>
      </c>
      <c r="BA48" s="9">
        <f t="shared" si="52"/>
        <v>6460.2501217095942</v>
      </c>
      <c r="BB48" s="9">
        <f t="shared" si="52"/>
        <v>6524.8526229266899</v>
      </c>
      <c r="BC48" s="9">
        <f t="shared" si="52"/>
        <v>6590.1011491559566</v>
      </c>
      <c r="BD48" s="9">
        <f t="shared" si="52"/>
        <v>6656.0021606475166</v>
      </c>
      <c r="BE48" s="9">
        <f t="shared" si="52"/>
        <v>6722.5621822539915</v>
      </c>
      <c r="BF48" s="9">
        <f t="shared" si="52"/>
        <v>6789.7878040765318</v>
      </c>
      <c r="BG48" s="9">
        <f t="shared" si="52"/>
        <v>6857.6856821172969</v>
      </c>
      <c r="BH48" s="9">
        <f t="shared" si="52"/>
        <v>6926.2625389384702</v>
      </c>
      <c r="BI48" s="9">
        <f t="shared" si="52"/>
        <v>6995.5251643278552</v>
      </c>
      <c r="BJ48" s="9">
        <f t="shared" si="52"/>
        <v>7065.4804159711339</v>
      </c>
      <c r="BK48" s="9">
        <f t="shared" si="52"/>
        <v>7136.1352201308455</v>
      </c>
      <c r="BL48" s="9">
        <f t="shared" si="52"/>
        <v>7207.4965723321538</v>
      </c>
      <c r="BM48" s="9">
        <f t="shared" si="52"/>
        <v>7279.5715380554757</v>
      </c>
      <c r="BN48" s="9">
        <f t="shared" si="52"/>
        <v>7352.3672534360303</v>
      </c>
      <c r="BO48" s="9">
        <f t="shared" si="52"/>
        <v>7425.8909259703905</v>
      </c>
      <c r="BP48" s="9">
        <f t="shared" si="52"/>
        <v>7500.1498352300941</v>
      </c>
      <c r="BQ48" s="9">
        <f t="shared" si="52"/>
        <v>7575.1513335823947</v>
      </c>
      <c r="BR48" s="9">
        <f t="shared" si="52"/>
        <v>7650.9028469182185</v>
      </c>
      <c r="BS48" s="9">
        <f t="shared" si="52"/>
        <v>7727.4118753874009</v>
      </c>
      <c r="BT48" s="9">
        <f t="shared" si="52"/>
        <v>7804.6859941412749</v>
      </c>
      <c r="BU48" s="9">
        <f t="shared" si="52"/>
        <v>7882.7328540826875</v>
      </c>
      <c r="BV48" s="9">
        <f t="shared" si="52"/>
        <v>7961.5601826235143</v>
      </c>
      <c r="BW48" s="9">
        <f t="shared" si="52"/>
        <v>8041.1757844497497</v>
      </c>
      <c r="BX48" s="9">
        <f t="shared" si="52"/>
        <v>8121.5875422942472</v>
      </c>
      <c r="BY48" s="9">
        <f t="shared" si="52"/>
        <v>8202.8034177171903</v>
      </c>
      <c r="BZ48" s="9">
        <f t="shared" si="52"/>
        <v>8284.8314518943625</v>
      </c>
      <c r="CA48" s="9">
        <f t="shared" si="52"/>
        <v>8367.6797664133064</v>
      </c>
      <c r="CB48" s="9">
        <f t="shared" si="52"/>
        <v>8451.3565640774395</v>
      </c>
      <c r="CC48" s="9">
        <f t="shared" si="52"/>
        <v>8535.8701297182142</v>
      </c>
      <c r="CD48" s="9">
        <f t="shared" si="52"/>
        <v>8621.2288310153963</v>
      </c>
      <c r="CE48" s="9">
        <f t="shared" si="52"/>
        <v>8707.441119325551</v>
      </c>
      <c r="CF48" s="9">
        <f t="shared" si="52"/>
        <v>8794.5155305188073</v>
      </c>
      <c r="CG48" s="9">
        <f t="shared" si="52"/>
        <v>8882.4606858239949</v>
      </c>
      <c r="CH48" s="9">
        <f t="shared" si="52"/>
        <v>8971.2852926822343</v>
      </c>
      <c r="CI48" s="9">
        <f t="shared" si="52"/>
        <v>9060.9981456090572</v>
      </c>
      <c r="CJ48" s="9">
        <f t="shared" si="52"/>
        <v>9151.6081270651484</v>
      </c>
      <c r="CK48" s="9">
        <f t="shared" si="52"/>
        <v>9243.1242083357993</v>
      </c>
      <c r="CL48" s="9">
        <f t="shared" ref="CL48:DU48" si="53">CK48*(1+$AA$31)</f>
        <v>9335.5554504191568</v>
      </c>
      <c r="CM48" s="9">
        <f t="shared" si="53"/>
        <v>9428.9110049233477</v>
      </c>
      <c r="CN48" s="9">
        <f t="shared" si="53"/>
        <v>9523.200114972582</v>
      </c>
      <c r="CO48" s="9">
        <f t="shared" si="53"/>
        <v>9618.4321161223088</v>
      </c>
      <c r="CP48" s="9">
        <f t="shared" si="53"/>
        <v>9714.6164372835319</v>
      </c>
      <c r="CQ48" s="9">
        <f t="shared" si="53"/>
        <v>9811.7626016563681</v>
      </c>
      <c r="CR48" s="9">
        <f t="shared" si="53"/>
        <v>9909.8802276729311</v>
      </c>
      <c r="CS48" s="9">
        <f t="shared" si="53"/>
        <v>10008.97902994966</v>
      </c>
      <c r="CT48" s="9">
        <f t="shared" si="53"/>
        <v>10109.068820249156</v>
      </c>
      <c r="CU48" s="9">
        <f t="shared" si="53"/>
        <v>10210.159508451648</v>
      </c>
      <c r="CV48" s="9">
        <f t="shared" si="53"/>
        <v>10312.261103536164</v>
      </c>
      <c r="CW48" s="9">
        <f t="shared" si="53"/>
        <v>10415.383714571526</v>
      </c>
      <c r="CX48" s="9">
        <f t="shared" si="53"/>
        <v>10519.537551717242</v>
      </c>
      <c r="CY48" s="9">
        <f t="shared" si="53"/>
        <v>10624.732927234414</v>
      </c>
      <c r="CZ48" s="9">
        <f t="shared" si="53"/>
        <v>10730.980256506758</v>
      </c>
      <c r="DA48" s="9">
        <f t="shared" si="53"/>
        <v>10838.290059071825</v>
      </c>
      <c r="DB48" s="9">
        <f t="shared" si="53"/>
        <v>10946.672959662545</v>
      </c>
      <c r="DC48" s="9">
        <f t="shared" si="53"/>
        <v>11056.139689259169</v>
      </c>
      <c r="DD48" s="9">
        <f t="shared" si="53"/>
        <v>11166.701086151761</v>
      </c>
      <c r="DE48" s="9">
        <f t="shared" si="53"/>
        <v>11278.368097013279</v>
      </c>
      <c r="DF48" s="9">
        <f t="shared" si="53"/>
        <v>11391.151777983412</v>
      </c>
      <c r="DG48" s="9">
        <f t="shared" si="53"/>
        <v>11505.063295763246</v>
      </c>
      <c r="DH48" s="9">
        <f t="shared" si="53"/>
        <v>11620.113928720879</v>
      </c>
      <c r="DI48" s="9">
        <f t="shared" si="53"/>
        <v>11736.315068008087</v>
      </c>
      <c r="DJ48" s="9">
        <f t="shared" si="53"/>
        <v>11853.678218688168</v>
      </c>
      <c r="DK48" s="9">
        <f t="shared" si="53"/>
        <v>11972.21500087505</v>
      </c>
      <c r="DL48" s="9">
        <f t="shared" si="53"/>
        <v>12091.937150883801</v>
      </c>
      <c r="DM48" s="9">
        <f t="shared" si="53"/>
        <v>12212.85652239264</v>
      </c>
      <c r="DN48" s="9">
        <f t="shared" si="53"/>
        <v>12334.985087616566</v>
      </c>
      <c r="DO48" s="9">
        <f t="shared" si="53"/>
        <v>12458.334938492731</v>
      </c>
      <c r="DP48" s="9">
        <f t="shared" si="53"/>
        <v>12582.918287877659</v>
      </c>
      <c r="DQ48" s="9">
        <f t="shared" si="53"/>
        <v>12708.747470756436</v>
      </c>
      <c r="DR48" s="9">
        <f t="shared" si="53"/>
        <v>12835.834945464001</v>
      </c>
      <c r="DS48" s="9">
        <f t="shared" si="53"/>
        <v>12964.193294918641</v>
      </c>
      <c r="DT48" s="9">
        <f t="shared" si="53"/>
        <v>13093.835227867829</v>
      </c>
      <c r="DU48" s="9">
        <f t="shared" si="53"/>
        <v>13224.773580146508</v>
      </c>
    </row>
    <row r="50" spans="2:24" x14ac:dyDescent="0.2">
      <c r="B50" s="6" t="s">
        <v>56</v>
      </c>
      <c r="F50" s="6">
        <f>F52-F54</f>
        <v>815.03000000000065</v>
      </c>
      <c r="G50" s="6">
        <f>F50+G27</f>
        <v>815.03000000000065</v>
      </c>
      <c r="H50" s="6">
        <f>G50+H27</f>
        <v>815.03000000000065</v>
      </c>
      <c r="I50" s="6">
        <f>H50+I27</f>
        <v>815.03000000000065</v>
      </c>
      <c r="J50" s="6">
        <f>I50+J27</f>
        <v>815.03000000000065</v>
      </c>
      <c r="N50" s="6">
        <f>J50</f>
        <v>815.03000000000065</v>
      </c>
      <c r="O50" s="6">
        <f t="shared" ref="O50:X50" si="54">N50+O27</f>
        <v>2307.2879234581724</v>
      </c>
      <c r="P50" s="6">
        <f t="shared" si="54"/>
        <v>4360.1804134276026</v>
      </c>
      <c r="Q50" s="6">
        <f t="shared" si="54"/>
        <v>6761.1420697291405</v>
      </c>
      <c r="R50" s="6">
        <f t="shared" si="54"/>
        <v>9595.4246711606665</v>
      </c>
      <c r="S50" s="6">
        <f t="shared" si="54"/>
        <v>13015.697349955166</v>
      </c>
      <c r="T50" s="6">
        <f t="shared" si="54"/>
        <v>16611.696441991513</v>
      </c>
      <c r="U50" s="6">
        <f t="shared" si="54"/>
        <v>20393.04520788039</v>
      </c>
      <c r="V50" s="6">
        <f t="shared" si="54"/>
        <v>24369.922534119029</v>
      </c>
      <c r="W50" s="6">
        <f t="shared" si="54"/>
        <v>28553.094360063267</v>
      </c>
      <c r="X50" s="6">
        <f t="shared" si="54"/>
        <v>32953.946811093032</v>
      </c>
    </row>
    <row r="52" spans="2:24" x14ac:dyDescent="0.2">
      <c r="B52" s="6" t="s">
        <v>3</v>
      </c>
      <c r="F52" s="6">
        <v>7088.83</v>
      </c>
    </row>
    <row r="54" spans="2:24" x14ac:dyDescent="0.2">
      <c r="B54" s="6" t="s">
        <v>4</v>
      </c>
      <c r="F54" s="6">
        <f>619+5108.4+546.4</f>
        <v>6273.7999999999993</v>
      </c>
    </row>
  </sheetData>
  <hyperlinks>
    <hyperlink ref="A1" location="Sheet1!A1" display="Main" xr:uid="{0ED7E71F-83F0-4EFC-9B32-71EE77614912}"/>
  </hyperlinks>
  <pageMargins left="0.7" right="0.7" top="0.75" bottom="0.75" header="0.3" footer="0.3"/>
  <pageSetup orientation="portrait" r:id="rId1"/>
  <ignoredErrors>
    <ignoredError sqref="N2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2025-02-24T11:07:20Z</dcterms:created>
  <dcterms:modified xsi:type="dcterms:W3CDTF">2025-08-11T01:36:02Z</dcterms:modified>
</cp:coreProperties>
</file>