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51866CF-F9CE-4189-9118-C324F88BFD52}" xr6:coauthVersionLast="47" xr6:coauthVersionMax="47" xr10:uidLastSave="{00000000-0000-0000-0000-000000000000}"/>
  <bookViews>
    <workbookView xWindow="5835" yWindow="480" windowWidth="20805" windowHeight="14475" activeTab="1" xr2:uid="{8238CC19-5C58-4680-92E0-526DD4D782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2" l="1"/>
  <c r="T35" i="2" s="1"/>
  <c r="U35" i="2" s="1"/>
  <c r="R35" i="2"/>
  <c r="Q6" i="2"/>
  <c r="R6" i="2"/>
  <c r="S6" i="2" s="1"/>
  <c r="T6" i="2" s="1"/>
  <c r="U6" i="2" s="1"/>
  <c r="Q5" i="2"/>
  <c r="R5" i="2" s="1"/>
  <c r="O36" i="2"/>
  <c r="P36" i="2"/>
  <c r="N36" i="2"/>
  <c r="Q24" i="2"/>
  <c r="O25" i="2"/>
  <c r="P25" i="2"/>
  <c r="O24" i="2"/>
  <c r="P24" i="2"/>
  <c r="Q16" i="2"/>
  <c r="H41" i="2"/>
  <c r="H39" i="2"/>
  <c r="O14" i="2"/>
  <c r="P14" i="2"/>
  <c r="N14" i="2"/>
  <c r="O30" i="2"/>
  <c r="P30" i="2"/>
  <c r="Q30" i="2" s="1"/>
  <c r="R30" i="2" s="1"/>
  <c r="S30" i="2" s="1"/>
  <c r="T30" i="2" s="1"/>
  <c r="U30" i="2" s="1"/>
  <c r="N30" i="2"/>
  <c r="O29" i="2"/>
  <c r="P29" i="2"/>
  <c r="Q29" i="2" s="1"/>
  <c r="N29" i="2"/>
  <c r="O7" i="2"/>
  <c r="O10" i="2" s="1"/>
  <c r="O28" i="2" s="1"/>
  <c r="P7" i="2"/>
  <c r="P10" i="2" s="1"/>
  <c r="P28" i="2" s="1"/>
  <c r="N7" i="2"/>
  <c r="N10" i="2" s="1"/>
  <c r="M2" i="2"/>
  <c r="N2" i="2" s="1"/>
  <c r="O2" i="2" s="1"/>
  <c r="P2" i="2" s="1"/>
  <c r="Q2" i="2" s="1"/>
  <c r="R2" i="2" s="1"/>
  <c r="S2" i="2" s="1"/>
  <c r="T2" i="2" s="1"/>
  <c r="U2" i="2" s="1"/>
  <c r="I7" i="1"/>
  <c r="I6" i="1"/>
  <c r="I5" i="1"/>
  <c r="I8" i="1" s="1"/>
  <c r="Q7" i="2" l="1"/>
  <c r="Q23" i="2" s="1"/>
  <c r="Q14" i="2" s="1"/>
  <c r="H38" i="2"/>
  <c r="I38" i="2" s="1"/>
  <c r="J38" i="2" s="1"/>
  <c r="Q38" i="2" s="1"/>
  <c r="R16" i="2" s="1"/>
  <c r="Q25" i="2"/>
  <c r="P23" i="2"/>
  <c r="R7" i="2"/>
  <c r="R23" i="2" s="1"/>
  <c r="O15" i="2"/>
  <c r="O17" i="2" s="1"/>
  <c r="O19" i="2" s="1"/>
  <c r="S5" i="2"/>
  <c r="S24" i="2" s="1"/>
  <c r="R24" i="2"/>
  <c r="P15" i="2"/>
  <c r="O23" i="2"/>
  <c r="N15" i="2"/>
  <c r="Q8" i="2"/>
  <c r="R29" i="2"/>
  <c r="Q9" i="2"/>
  <c r="N28" i="2"/>
  <c r="O31" i="2" l="1"/>
  <c r="R14" i="2"/>
  <c r="O26" i="2"/>
  <c r="R25" i="2"/>
  <c r="N17" i="2"/>
  <c r="N31" i="2"/>
  <c r="P17" i="2"/>
  <c r="P31" i="2"/>
  <c r="T5" i="2"/>
  <c r="S7" i="2"/>
  <c r="S23" i="2" s="1"/>
  <c r="O21" i="2"/>
  <c r="T24" i="2"/>
  <c r="Q10" i="2"/>
  <c r="Q28" i="2" s="1"/>
  <c r="R9" i="2"/>
  <c r="S29" i="2"/>
  <c r="R8" i="2"/>
  <c r="R10" i="2" l="1"/>
  <c r="S25" i="2"/>
  <c r="U5" i="2"/>
  <c r="T7" i="2"/>
  <c r="T23" i="2" s="1"/>
  <c r="S14" i="2"/>
  <c r="P19" i="2"/>
  <c r="P26" i="2"/>
  <c r="N26" i="2"/>
  <c r="N19" i="2"/>
  <c r="Q15" i="2"/>
  <c r="T29" i="2"/>
  <c r="S8" i="2"/>
  <c r="R28" i="2"/>
  <c r="R15" i="2"/>
  <c r="S9" i="2"/>
  <c r="U25" i="2" l="1"/>
  <c r="T25" i="2"/>
  <c r="T14" i="2"/>
  <c r="U24" i="2"/>
  <c r="N21" i="2"/>
  <c r="P21" i="2"/>
  <c r="Q17" i="2"/>
  <c r="Q18" i="2" s="1"/>
  <c r="Q19" i="2" s="1"/>
  <c r="Q31" i="2"/>
  <c r="R17" i="2"/>
  <c r="R18" i="2" s="1"/>
  <c r="R19" i="2" s="1"/>
  <c r="R31" i="2"/>
  <c r="S10" i="2"/>
  <c r="U9" i="2"/>
  <c r="T9" i="2"/>
  <c r="U29" i="2"/>
  <c r="U8" i="2" s="1"/>
  <c r="T8" i="2"/>
  <c r="R34" i="2" l="1"/>
  <c r="R36" i="2" s="1"/>
  <c r="Q34" i="2"/>
  <c r="Q36" i="2" s="1"/>
  <c r="U7" i="2"/>
  <c r="U23" i="2" s="1"/>
  <c r="Q21" i="2"/>
  <c r="R38" i="2"/>
  <c r="R21" i="2"/>
  <c r="U14" i="2"/>
  <c r="U10" i="2"/>
  <c r="U15" i="2" s="1"/>
  <c r="U31" i="2" s="1"/>
  <c r="T10" i="2"/>
  <c r="T28" i="2" s="1"/>
  <c r="S16" i="2"/>
  <c r="S28" i="2"/>
  <c r="S15" i="2"/>
  <c r="U28" i="2"/>
  <c r="T15" i="2" l="1"/>
  <c r="T31" i="2" s="1"/>
  <c r="S17" i="2"/>
  <c r="S31" i="2"/>
  <c r="S18" i="2"/>
  <c r="S19" i="2" s="1"/>
  <c r="S34" i="2" s="1"/>
  <c r="S38" i="2" l="1"/>
  <c r="T16" i="2" s="1"/>
  <c r="T17" i="2" s="1"/>
  <c r="T18" i="2" s="1"/>
  <c r="T19" i="2" s="1"/>
  <c r="S36" i="2"/>
  <c r="S21" i="2"/>
  <c r="T38" i="2" l="1"/>
  <c r="U16" i="2" s="1"/>
  <c r="U17" i="2" s="1"/>
  <c r="U18" i="2" s="1"/>
  <c r="U19" i="2" s="1"/>
  <c r="T34" i="2"/>
  <c r="T21" i="2"/>
  <c r="T36" i="2"/>
  <c r="U21" i="2"/>
  <c r="V19" i="2"/>
  <c r="U38" i="2"/>
  <c r="U34" i="2" l="1"/>
  <c r="U36" i="2" s="1"/>
  <c r="W19" i="2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V36" i="2" l="1"/>
  <c r="W36" i="2"/>
  <c r="X36" i="2" l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X25" i="2" s="1"/>
  <c r="X26" i="2" l="1"/>
  <c r="X27" i="2" s="1"/>
</calcChain>
</file>

<file path=xl/sharedStrings.xml><?xml version="1.0" encoding="utf-8"?>
<sst xmlns="http://schemas.openxmlformats.org/spreadsheetml/2006/main" count="57" uniqueCount="50">
  <si>
    <t>Price</t>
  </si>
  <si>
    <t>Shares</t>
  </si>
  <si>
    <t>MC</t>
  </si>
  <si>
    <t>Cash</t>
  </si>
  <si>
    <t>Debt</t>
  </si>
  <si>
    <t>EV</t>
  </si>
  <si>
    <t>Q225</t>
  </si>
  <si>
    <t>Product</t>
  </si>
  <si>
    <t>Service</t>
  </si>
  <si>
    <t>Revenue</t>
  </si>
  <si>
    <t>Gross Profit</t>
  </si>
  <si>
    <t>Product COGS</t>
  </si>
  <si>
    <t>Service COGS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</si>
  <si>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</si>
  <si>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</si>
  <si>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</si>
  <si>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</si>
  <si>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</si>
  <si>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</si>
  <si>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</si>
  <si>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</si>
  <si>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Interest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</si>
  <si>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</si>
  <si>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</si>
  <si>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</si>
  <si>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</si>
  <si>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</si>
  <si>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</si>
  <si>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</si>
  <si>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</si>
  <si>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</si>
  <si>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</si>
  <si>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</si>
  <si>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</si>
  <si>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</si>
  <si>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</si>
  <si>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</si>
  <si>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Q325</t>
  </si>
  <si>
    <t>Q425</t>
  </si>
  <si>
    <t>Product GM</t>
  </si>
  <si>
    <t>Service GM</t>
  </si>
  <si>
    <t>ROIC</t>
  </si>
  <si>
    <t>Maturity</t>
  </si>
  <si>
    <t>Discount</t>
  </si>
  <si>
    <t>NPV</t>
  </si>
  <si>
    <t>Diff</t>
  </si>
  <si>
    <t>Product Growth</t>
  </si>
  <si>
    <t>Service Growth</t>
  </si>
  <si>
    <t>Main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</si>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</sst>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3" fontId="2" fillId="0" borderId="0" xfId="0" applyNumberFormat="1" applyFont="1"/>
    <xf numFmtId="0" fontId="3" fillId="0" borderId="0" xfId="0" applyFont="1"/>
    <xf numFmtId="0" fontId="2" fillId="0" borderId="0" xfId="0" applyFont="1"/>
    <xf numFmtId="4" fontId="2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3" fontId="5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28575</xdr:rowOff>
    </xdr:from>
    <xdr:to>
      <xdr:col>8</xdr:col>
      <xdr:colOff>9525</xdr:colOff>
      <xdr:row>42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2EB0B72-FAA9-1790-D553-E73B2C1D5E3A}"/>
            </a:ext>
          </a:extLst>
        </xdr:cNvPr>
        <xdr:cNvCxnSpPr/>
      </xdr:nvCxnSpPr>
      <xdr:spPr>
        <a:xfrm>
          <a:off x="4800600" y="28575"/>
          <a:ext cx="9525" cy="6829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9525</xdr:colOff>
      <xdr:row>41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80F9C07-3C4C-4592-A37D-78BA95D2433D}"/>
            </a:ext>
          </a:extLst>
        </xdr:cNvPr>
        <xdr:cNvCxnSpPr/>
      </xdr:nvCxnSpPr>
      <xdr:spPr>
        <a:xfrm>
          <a:off x="9677400" y="0"/>
          <a:ext cx="9525" cy="6829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6702-02DD-4E96-B0C3-B680F054E789}">
  <dimension ref="A1:J8"/>
  <sheetViews>
    <sheetView zoomScale="115" zoomScaleNormal="115" workbookViewId="0">
      <selection activeCell="G9" sqref="G9"/>
    </sheetView>
  </sheetViews>
  <sheetFormatPr defaultRowHeight="12.75" x14ac:dyDescent="0.2"/>
  <cols>
    <col min="1" max="3" width="9.140625" style="3"/>
    <col min="4" max="4" width="10.28515625" style="3" bestFit="1" customWidth="1"/>
    <col min="5" max="8" width="9.140625" style="3"/>
    <col min="9" max="9" width="10.140625" style="3" bestFit="1" customWidth="1"/>
    <col min="10" max="16384" width="9.140625" style="3"/>
  </cols>
  <sheetData>
    <row r="1" spans="1:10" x14ac:dyDescent="0.2">
      <c r="A1" s="2"/>
    </row>
    <row r="3" spans="1:10" x14ac:dyDescent="0.2">
      <c r="H3" s="3" t="s">
        <v>0</v>
      </c>
      <c r="I3" s="4">
        <v>544</v>
      </c>
    </row>
    <row r="4" spans="1:10" x14ac:dyDescent="0.2">
      <c r="H4" s="3" t="s">
        <v>1</v>
      </c>
      <c r="I4" s="1">
        <v>7433.982</v>
      </c>
      <c r="J4" s="3" t="s">
        <v>6</v>
      </c>
    </row>
    <row r="5" spans="1:10" x14ac:dyDescent="0.2">
      <c r="H5" s="3" t="s">
        <v>2</v>
      </c>
      <c r="I5" s="1">
        <f>I4*I3</f>
        <v>4044086.2080000001</v>
      </c>
    </row>
    <row r="6" spans="1:10" x14ac:dyDescent="0.2">
      <c r="H6" s="3" t="s">
        <v>3</v>
      </c>
      <c r="I6" s="1">
        <f>17482+54073</f>
        <v>71555</v>
      </c>
      <c r="J6" s="3" t="s">
        <v>6</v>
      </c>
    </row>
    <row r="7" spans="1:10" x14ac:dyDescent="0.2">
      <c r="H7" s="3" t="s">
        <v>4</v>
      </c>
      <c r="I7" s="1">
        <f>39722+24389+2537+2513+17254+35906</f>
        <v>122321</v>
      </c>
      <c r="J7" s="3" t="s">
        <v>6</v>
      </c>
    </row>
    <row r="8" spans="1:10" x14ac:dyDescent="0.2">
      <c r="H8" s="3" t="s">
        <v>5</v>
      </c>
      <c r="I8" s="1">
        <f>I5+I7-I6</f>
        <v>4094852.2080000001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64C4-4E59-4C6E-9629-E824C7D3CAE2}">
  <dimension ref="A1:DT41"/>
  <sheetViews>
    <sheetView tabSelected="1" zoomScale="115" zoomScaleNormal="115" workbookViewId="0">
      <pane xSplit="2" ySplit="2" topLeftCell="O3" activePane="bottomRight" state="frozen"/>
      <selection pane="topRight" activeCell="B1" sqref="B1"/>
      <selection pane="bottomLeft" activeCell="A2" sqref="A2"/>
      <selection pane="bottomRight" activeCell="V3" sqref="V3"/>
    </sheetView>
  </sheetViews>
  <sheetFormatPr defaultRowHeight="12.75" x14ac:dyDescent="0.2"/>
  <cols>
    <col min="1" max="1" width="5" style="8" bestFit="1" customWidth="1"/>
    <col min="2" max="2" width="16.85546875" style="8" customWidth="1"/>
    <col min="3" max="3" width="9.42578125" style="8" customWidth="1"/>
    <col min="4" max="7" width="9.140625" style="8"/>
    <col min="8" max="10" width="9.28515625" style="8" bestFit="1" customWidth="1"/>
    <col min="11" max="11" width="9.140625" style="8"/>
    <col min="12" max="23" width="9.28515625" style="8" bestFit="1" customWidth="1"/>
    <col min="24" max="24" width="10.140625" style="8" bestFit="1" customWidth="1"/>
    <col min="25" max="124" width="9.28515625" style="8" bestFit="1" customWidth="1"/>
    <col min="125" max="16384" width="9.140625" style="8"/>
  </cols>
  <sheetData>
    <row r="1" spans="1:24" ht="14.25" x14ac:dyDescent="0.2">
      <c r="A1" s="7" t="s">
        <v>48</v>
      </c>
    </row>
    <row r="2" spans="1:24" x14ac:dyDescent="0.2">
      <c r="C2" s="8" t="s">
        <v>32</v>
      </c>
      <c r="D2" s="8" t="s">
        <v>33</v>
      </c>
      <c r="E2" s="8" t="s">
        <v>34</v>
      </c>
      <c r="F2" s="8" t="s">
        <v>35</v>
      </c>
      <c r="G2" s="8" t="s">
        <v>36</v>
      </c>
      <c r="H2" s="8" t="s">
        <v>6</v>
      </c>
      <c r="I2" s="8" t="s">
        <v>37</v>
      </c>
      <c r="J2" s="8" t="s">
        <v>38</v>
      </c>
      <c r="L2" s="9">
        <v>2020</v>
      </c>
      <c r="M2" s="9">
        <f>L2+1</f>
        <v>2021</v>
      </c>
      <c r="N2" s="9">
        <f t="shared" ref="N2:U2" si="0">M2+1</f>
        <v>2022</v>
      </c>
      <c r="O2" s="9">
        <f t="shared" si="0"/>
        <v>2023</v>
      </c>
      <c r="P2" s="9">
        <f t="shared" si="0"/>
        <v>2024</v>
      </c>
      <c r="Q2" s="9">
        <f t="shared" si="0"/>
        <v>2025</v>
      </c>
      <c r="R2" s="9">
        <f t="shared" si="0"/>
        <v>2026</v>
      </c>
      <c r="S2" s="9">
        <f t="shared" si="0"/>
        <v>2027</v>
      </c>
      <c r="T2" s="9">
        <f t="shared" si="0"/>
        <v>2028</v>
      </c>
      <c r="U2" s="9">
        <f t="shared" si="0"/>
        <v>2029</v>
      </c>
    </row>
    <row r="3" spans="1:24" x14ac:dyDescent="0.2">
      <c r="B3" s="8" t="s">
        <v>49</v>
      </c>
      <c r="L3" s="9"/>
      <c r="M3" s="9"/>
      <c r="N3" s="9"/>
      <c r="O3" s="9"/>
      <c r="P3" s="9"/>
      <c r="Q3" s="8">
        <v>75000</v>
      </c>
      <c r="R3" s="9"/>
      <c r="S3" s="9"/>
      <c r="T3" s="9"/>
      <c r="U3" s="9"/>
    </row>
    <row r="4" spans="1:24" x14ac:dyDescent="0.2">
      <c r="L4" s="9"/>
      <c r="M4" s="9"/>
      <c r="N4" s="9"/>
      <c r="O4" s="9"/>
      <c r="P4" s="9"/>
      <c r="Q4" s="9"/>
      <c r="R4" s="9"/>
      <c r="S4" s="9"/>
      <c r="T4" s="9"/>
      <c r="U4" s="9"/>
    </row>
    <row r="5" spans="1:24" x14ac:dyDescent="0.2">
      <c r="B5" s="8" t="s">
        <v>7</v>
      </c>
      <c r="N5" s="8">
        <v>72732</v>
      </c>
      <c r="O5" s="8">
        <v>64699</v>
      </c>
      <c r="P5" s="8">
        <v>64773</v>
      </c>
      <c r="Q5" s="8">
        <f>AVERAGE(N5:P5)</f>
        <v>67401.333333333328</v>
      </c>
      <c r="R5" s="8">
        <f>Q5*1.05</f>
        <v>70771.399999999994</v>
      </c>
      <c r="S5" s="8">
        <f t="shared" ref="S5:U5" si="1">R5*1.05</f>
        <v>74309.97</v>
      </c>
      <c r="T5" s="8">
        <f t="shared" si="1"/>
        <v>78025.468500000003</v>
      </c>
      <c r="U5" s="8">
        <f t="shared" si="1"/>
        <v>81926.741925000009</v>
      </c>
    </row>
    <row r="6" spans="1:24" x14ac:dyDescent="0.2">
      <c r="B6" s="8" t="s">
        <v>8</v>
      </c>
      <c r="N6" s="8">
        <v>125538</v>
      </c>
      <c r="O6" s="8">
        <v>147216</v>
      </c>
      <c r="P6" s="8">
        <v>180349</v>
      </c>
      <c r="Q6" s="8">
        <f>P6*1.3</f>
        <v>234453.7</v>
      </c>
      <c r="R6" s="8">
        <f t="shared" ref="R6:U6" si="2">Q6*1.3</f>
        <v>304789.81</v>
      </c>
      <c r="S6" s="8">
        <f t="shared" si="2"/>
        <v>396226.75300000003</v>
      </c>
      <c r="T6" s="8">
        <f t="shared" si="2"/>
        <v>515094.77890000003</v>
      </c>
      <c r="U6" s="8">
        <f t="shared" si="2"/>
        <v>669623.21257000009</v>
      </c>
    </row>
    <row r="7" spans="1:24" s="5" customFormat="1" x14ac:dyDescent="0.2">
      <c r="B7" s="5" t="s">
        <v>9</v>
      </c>
      <c r="N7" s="5">
        <f>SUM(N5:N6)</f>
        <v>198270</v>
      </c>
      <c r="O7" s="5">
        <f t="shared" ref="O7:U7" si="3">SUM(O5:O6)</f>
        <v>211915</v>
      </c>
      <c r="P7" s="5">
        <f t="shared" si="3"/>
        <v>245122</v>
      </c>
      <c r="Q7" s="5">
        <f t="shared" si="3"/>
        <v>301855.03333333333</v>
      </c>
      <c r="R7" s="5">
        <f t="shared" si="3"/>
        <v>375561.20999999996</v>
      </c>
      <c r="S7" s="5">
        <f t="shared" si="3"/>
        <v>470536.723</v>
      </c>
      <c r="T7" s="5">
        <f t="shared" si="3"/>
        <v>593120.24739999999</v>
      </c>
      <c r="U7" s="5">
        <f t="shared" si="3"/>
        <v>751549.95449500007</v>
      </c>
    </row>
    <row r="8" spans="1:24" x14ac:dyDescent="0.2">
      <c r="B8" s="8" t="s">
        <v>11</v>
      </c>
      <c r="N8" s="8">
        <v>19064</v>
      </c>
      <c r="O8" s="8">
        <v>17804</v>
      </c>
      <c r="P8" s="8">
        <v>15272</v>
      </c>
      <c r="Q8" s="8">
        <f>Q5*(1-Q29)</f>
        <v>15634.153052352063</v>
      </c>
      <c r="R8" s="8">
        <f t="shared" ref="R8:U8" si="4">R5*(1-R29)</f>
        <v>16144.083008494525</v>
      </c>
      <c r="S8" s="8">
        <f t="shared" si="4"/>
        <v>16664.493744713855</v>
      </c>
      <c r="T8" s="8">
        <f t="shared" si="4"/>
        <v>17195.079681609299</v>
      </c>
      <c r="U8" s="8">
        <f t="shared" si="4"/>
        <v>17735.474124393215</v>
      </c>
    </row>
    <row r="9" spans="1:24" x14ac:dyDescent="0.2">
      <c r="B9" s="8" t="s">
        <v>12</v>
      </c>
      <c r="N9" s="8">
        <v>43586</v>
      </c>
      <c r="O9" s="8">
        <v>48059</v>
      </c>
      <c r="P9" s="8">
        <v>58842</v>
      </c>
      <c r="Q9" s="8">
        <f>Q6*(1-Q30)</f>
        <v>74915.009000000005</v>
      </c>
      <c r="R9" s="8">
        <f t="shared" ref="R9:U9" si="5">R6*(1-R30)</f>
        <v>95315.50871699999</v>
      </c>
      <c r="S9" s="8">
        <f t="shared" si="5"/>
        <v>121186.99541542098</v>
      </c>
      <c r="T9" s="8">
        <f t="shared" si="5"/>
        <v>153967.57719144772</v>
      </c>
      <c r="U9" s="8">
        <f t="shared" si="5"/>
        <v>195463.1967266709</v>
      </c>
    </row>
    <row r="10" spans="1:24" x14ac:dyDescent="0.2">
      <c r="B10" s="8" t="s">
        <v>10</v>
      </c>
      <c r="N10" s="8">
        <f>N7-SUM(N8:N9)</f>
        <v>135620</v>
      </c>
      <c r="O10" s="8">
        <f t="shared" ref="O10:P10" si="6">O7-SUM(O8:O9)</f>
        <v>146052</v>
      </c>
      <c r="P10" s="8">
        <f t="shared" si="6"/>
        <v>171008</v>
      </c>
      <c r="Q10" s="8">
        <f t="shared" ref="Q10" si="7">Q7-SUM(Q8:Q9)</f>
        <v>211305.87128098126</v>
      </c>
      <c r="R10" s="8">
        <f t="shared" ref="R10" si="8">R7-SUM(R8:R9)</f>
        <v>264101.61827450548</v>
      </c>
      <c r="S10" s="8">
        <f t="shared" ref="S10" si="9">S7-SUM(S8:S9)</f>
        <v>332685.23383986519</v>
      </c>
      <c r="T10" s="8">
        <f t="shared" ref="T10" si="10">T7-SUM(T8:T9)</f>
        <v>421957.59052694298</v>
      </c>
      <c r="U10" s="8">
        <f t="shared" ref="U10" si="11">U7-SUM(U8:U9)</f>
        <v>538351.28364393592</v>
      </c>
    </row>
    <row r="11" spans="1:24" x14ac:dyDescent="0.2">
      <c r="B11" s="8" t="s">
        <v>13</v>
      </c>
      <c r="N11" s="8">
        <v>24512</v>
      </c>
      <c r="O11" s="8">
        <v>27195</v>
      </c>
      <c r="P11" s="8">
        <v>29510</v>
      </c>
    </row>
    <row r="12" spans="1:24" x14ac:dyDescent="0.2">
      <c r="B12" s="8" t="s">
        <v>14</v>
      </c>
      <c r="N12" s="8">
        <v>21825</v>
      </c>
      <c r="O12" s="8">
        <v>22759</v>
      </c>
      <c r="P12" s="8">
        <v>24456</v>
      </c>
    </row>
    <row r="13" spans="1:24" x14ac:dyDescent="0.2">
      <c r="B13" s="8" t="s">
        <v>15</v>
      </c>
      <c r="N13" s="8">
        <v>5900</v>
      </c>
      <c r="O13" s="8">
        <v>7575</v>
      </c>
      <c r="P13" s="8">
        <v>7609</v>
      </c>
    </row>
    <row r="14" spans="1:24" x14ac:dyDescent="0.2">
      <c r="B14" s="8" t="s">
        <v>16</v>
      </c>
      <c r="N14" s="8">
        <f>SUM(N11:N13)</f>
        <v>52237</v>
      </c>
      <c r="O14" s="8">
        <f t="shared" ref="O14:P14" si="12">SUM(O11:O13)</f>
        <v>57529</v>
      </c>
      <c r="P14" s="8">
        <f t="shared" si="12"/>
        <v>61575</v>
      </c>
      <c r="Q14" s="8">
        <f>P14*(1+Q23)</f>
        <v>75826.419813399043</v>
      </c>
      <c r="R14" s="8">
        <f t="shared" ref="R14:U14" si="13">Q14*(1+R23)</f>
        <v>94341.517716688017</v>
      </c>
      <c r="S14" s="8">
        <f t="shared" si="13"/>
        <v>118199.50358892715</v>
      </c>
      <c r="T14" s="8">
        <f t="shared" si="13"/>
        <v>148992.66175069966</v>
      </c>
      <c r="U14" s="8">
        <f t="shared" si="13"/>
        <v>188790.43271525868</v>
      </c>
      <c r="X14" s="11"/>
    </row>
    <row r="15" spans="1:24" x14ac:dyDescent="0.2">
      <c r="B15" s="8" t="s">
        <v>17</v>
      </c>
      <c r="N15" s="8">
        <f>N10-N14</f>
        <v>83383</v>
      </c>
      <c r="O15" s="8">
        <f t="shared" ref="O15:U15" si="14">O10-O14</f>
        <v>88523</v>
      </c>
      <c r="P15" s="8">
        <f t="shared" si="14"/>
        <v>109433</v>
      </c>
      <c r="Q15" s="8">
        <f t="shared" si="14"/>
        <v>135479.4514675822</v>
      </c>
      <c r="R15" s="8">
        <f t="shared" si="14"/>
        <v>169760.10055781747</v>
      </c>
      <c r="S15" s="8">
        <f t="shared" si="14"/>
        <v>214485.73025093804</v>
      </c>
      <c r="T15" s="8">
        <f t="shared" si="14"/>
        <v>272964.92877624335</v>
      </c>
      <c r="U15" s="8">
        <f t="shared" si="14"/>
        <v>349560.85092867725</v>
      </c>
    </row>
    <row r="16" spans="1:24" x14ac:dyDescent="0.2">
      <c r="B16" s="8" t="s">
        <v>21</v>
      </c>
      <c r="N16" s="8">
        <v>333</v>
      </c>
      <c r="O16" s="8">
        <v>788</v>
      </c>
      <c r="P16" s="8">
        <v>-1646</v>
      </c>
      <c r="Q16" s="8">
        <f>SUM(G16:J16)</f>
        <v>0</v>
      </c>
      <c r="R16" s="8">
        <f>Q38*$X$22</f>
        <v>-1015.32</v>
      </c>
      <c r="S16" s="8">
        <f>R38*$X$22</f>
        <v>1718.345445036643</v>
      </c>
      <c r="T16" s="8">
        <f>S38*$X$22</f>
        <v>5220.8514713114337</v>
      </c>
      <c r="U16" s="8">
        <f>T38*$X$22</f>
        <v>9727.4611113218198</v>
      </c>
    </row>
    <row r="17" spans="2:118" x14ac:dyDescent="0.2">
      <c r="B17" s="8" t="s">
        <v>18</v>
      </c>
      <c r="N17" s="8">
        <f>N15+N16</f>
        <v>83716</v>
      </c>
      <c r="O17" s="8">
        <f t="shared" ref="O17:U17" si="15">O15+O16</f>
        <v>89311</v>
      </c>
      <c r="P17" s="8">
        <f t="shared" si="15"/>
        <v>107787</v>
      </c>
      <c r="Q17" s="8">
        <f t="shared" si="15"/>
        <v>135479.4514675822</v>
      </c>
      <c r="R17" s="8">
        <f t="shared" si="15"/>
        <v>168744.78055781746</v>
      </c>
      <c r="S17" s="8">
        <f t="shared" si="15"/>
        <v>216204.07569597469</v>
      </c>
      <c r="T17" s="8">
        <f t="shared" si="15"/>
        <v>278185.78024755477</v>
      </c>
      <c r="U17" s="8">
        <f t="shared" si="15"/>
        <v>359288.31203999906</v>
      </c>
    </row>
    <row r="18" spans="2:118" x14ac:dyDescent="0.2">
      <c r="B18" s="8" t="s">
        <v>19</v>
      </c>
      <c r="N18" s="8">
        <v>10978</v>
      </c>
      <c r="O18" s="8">
        <v>16950</v>
      </c>
      <c r="P18" s="8">
        <v>19651</v>
      </c>
      <c r="Q18" s="8">
        <f>Q17*Q26</f>
        <v>25741.095778840619</v>
      </c>
      <c r="R18" s="8">
        <f t="shared" ref="R18:U18" si="16">R17*R26</f>
        <v>32061.508305985317</v>
      </c>
      <c r="S18" s="8">
        <f t="shared" si="16"/>
        <v>41078.774382235191</v>
      </c>
      <c r="T18" s="8">
        <f t="shared" si="16"/>
        <v>52855.298247035404</v>
      </c>
      <c r="U18" s="8">
        <f t="shared" si="16"/>
        <v>68264.779287599828</v>
      </c>
    </row>
    <row r="19" spans="2:118" s="5" customFormat="1" x14ac:dyDescent="0.2">
      <c r="B19" s="5" t="s">
        <v>20</v>
      </c>
      <c r="N19" s="5">
        <f>N17-N18</f>
        <v>72738</v>
      </c>
      <c r="O19" s="5">
        <f t="shared" ref="O19:U19" si="17">O17-O18</f>
        <v>72361</v>
      </c>
      <c r="P19" s="5">
        <f t="shared" si="17"/>
        <v>88136</v>
      </c>
      <c r="Q19" s="5">
        <f t="shared" si="17"/>
        <v>109738.35568874158</v>
      </c>
      <c r="R19" s="5">
        <f t="shared" si="17"/>
        <v>136683.27225183215</v>
      </c>
      <c r="S19" s="5">
        <f t="shared" si="17"/>
        <v>175125.3013137395</v>
      </c>
      <c r="T19" s="5">
        <f t="shared" si="17"/>
        <v>225330.48200051935</v>
      </c>
      <c r="U19" s="5">
        <f t="shared" si="17"/>
        <v>291023.53275239922</v>
      </c>
      <c r="V19" s="5">
        <f t="shared" ref="V19:BA19" si="18">U19*(1+$X$23)</f>
        <v>293933.76807992323</v>
      </c>
      <c r="W19" s="5">
        <f t="shared" si="18"/>
        <v>296873.10576072248</v>
      </c>
      <c r="X19" s="5">
        <f t="shared" si="18"/>
        <v>299841.8368183297</v>
      </c>
      <c r="Y19" s="5">
        <f t="shared" si="18"/>
        <v>302840.25518651301</v>
      </c>
      <c r="Z19" s="5">
        <f t="shared" si="18"/>
        <v>305868.65773837816</v>
      </c>
      <c r="AA19" s="5">
        <f t="shared" si="18"/>
        <v>308927.34431576193</v>
      </c>
      <c r="AB19" s="5">
        <f t="shared" si="18"/>
        <v>312016.61775891954</v>
      </c>
      <c r="AC19" s="5">
        <f t="shared" si="18"/>
        <v>315136.78393650876</v>
      </c>
      <c r="AD19" s="5">
        <f t="shared" si="18"/>
        <v>318288.15177587385</v>
      </c>
      <c r="AE19" s="5">
        <f t="shared" si="18"/>
        <v>321471.03329363262</v>
      </c>
      <c r="AF19" s="5">
        <f t="shared" si="18"/>
        <v>324685.74362656893</v>
      </c>
      <c r="AG19" s="5">
        <f t="shared" si="18"/>
        <v>327932.60106283461</v>
      </c>
      <c r="AH19" s="5">
        <f t="shared" si="18"/>
        <v>331211.92707346298</v>
      </c>
      <c r="AI19" s="5">
        <f t="shared" si="18"/>
        <v>334524.04634419759</v>
      </c>
      <c r="AJ19" s="5">
        <f t="shared" si="18"/>
        <v>337869.28680763958</v>
      </c>
      <c r="AK19" s="5">
        <f t="shared" si="18"/>
        <v>341247.97967571596</v>
      </c>
      <c r="AL19" s="5">
        <f t="shared" si="18"/>
        <v>344660.45947247313</v>
      </c>
      <c r="AM19" s="5">
        <f t="shared" si="18"/>
        <v>348107.06406719785</v>
      </c>
      <c r="AN19" s="5">
        <f t="shared" si="18"/>
        <v>351588.13470786985</v>
      </c>
      <c r="AO19" s="5">
        <f t="shared" si="18"/>
        <v>355104.01605494856</v>
      </c>
      <c r="AP19" s="5">
        <f t="shared" si="18"/>
        <v>358655.05621549807</v>
      </c>
      <c r="AQ19" s="5">
        <f t="shared" si="18"/>
        <v>362241.60677765304</v>
      </c>
      <c r="AR19" s="5">
        <f t="shared" si="18"/>
        <v>365864.0228454296</v>
      </c>
      <c r="AS19" s="5">
        <f t="shared" si="18"/>
        <v>369522.66307388392</v>
      </c>
      <c r="AT19" s="5">
        <f t="shared" si="18"/>
        <v>373217.88970462274</v>
      </c>
      <c r="AU19" s="5">
        <f t="shared" si="18"/>
        <v>376950.06860166899</v>
      </c>
      <c r="AV19" s="5">
        <f t="shared" si="18"/>
        <v>380719.56928768568</v>
      </c>
      <c r="AW19" s="5">
        <f t="shared" si="18"/>
        <v>384526.76498056256</v>
      </c>
      <c r="AX19" s="5">
        <f t="shared" si="18"/>
        <v>388372.03263036819</v>
      </c>
      <c r="AY19" s="5">
        <f t="shared" si="18"/>
        <v>392255.75295667187</v>
      </c>
      <c r="AZ19" s="5">
        <f t="shared" si="18"/>
        <v>396178.31048623857</v>
      </c>
      <c r="BA19" s="5">
        <f t="shared" si="18"/>
        <v>400140.09359110094</v>
      </c>
      <c r="BB19" s="5">
        <f t="shared" ref="BB19:CG19" si="19">BA19*(1+$X$23)</f>
        <v>404141.49452701194</v>
      </c>
      <c r="BC19" s="5">
        <f t="shared" si="19"/>
        <v>408182.90947228204</v>
      </c>
      <c r="BD19" s="5">
        <f t="shared" si="19"/>
        <v>412264.73856700485</v>
      </c>
      <c r="BE19" s="5">
        <f t="shared" si="19"/>
        <v>416387.3859526749</v>
      </c>
      <c r="BF19" s="5">
        <f t="shared" si="19"/>
        <v>420551.25981220166</v>
      </c>
      <c r="BG19" s="5">
        <f t="shared" si="19"/>
        <v>424756.77241032367</v>
      </c>
      <c r="BH19" s="5">
        <f t="shared" si="19"/>
        <v>429004.34013442689</v>
      </c>
      <c r="BI19" s="5">
        <f t="shared" si="19"/>
        <v>433294.38353577117</v>
      </c>
      <c r="BJ19" s="5">
        <f t="shared" si="19"/>
        <v>437627.32737112889</v>
      </c>
      <c r="BK19" s="5">
        <f t="shared" si="19"/>
        <v>442003.60064484016</v>
      </c>
      <c r="BL19" s="5">
        <f t="shared" si="19"/>
        <v>446423.63665128854</v>
      </c>
      <c r="BM19" s="5">
        <f t="shared" si="19"/>
        <v>450887.87301780144</v>
      </c>
      <c r="BN19" s="5">
        <f t="shared" si="19"/>
        <v>455396.75174797943</v>
      </c>
      <c r="BO19" s="5">
        <f t="shared" si="19"/>
        <v>459950.71926545922</v>
      </c>
      <c r="BP19" s="5">
        <f t="shared" si="19"/>
        <v>464550.22645811382</v>
      </c>
      <c r="BQ19" s="5">
        <f t="shared" si="19"/>
        <v>469195.72872269497</v>
      </c>
      <c r="BR19" s="5">
        <f t="shared" si="19"/>
        <v>473887.68600992195</v>
      </c>
      <c r="BS19" s="5">
        <f t="shared" si="19"/>
        <v>478626.56287002115</v>
      </c>
      <c r="BT19" s="5">
        <f t="shared" si="19"/>
        <v>483412.82849872136</v>
      </c>
      <c r="BU19" s="5">
        <f t="shared" si="19"/>
        <v>488246.95678370859</v>
      </c>
      <c r="BV19" s="5">
        <f t="shared" si="19"/>
        <v>493129.42635154567</v>
      </c>
      <c r="BW19" s="5">
        <f t="shared" si="19"/>
        <v>498060.72061506112</v>
      </c>
      <c r="BX19" s="5">
        <f t="shared" si="19"/>
        <v>503041.32782121171</v>
      </c>
      <c r="BY19" s="5">
        <f t="shared" si="19"/>
        <v>508071.74109942385</v>
      </c>
      <c r="BZ19" s="5">
        <f t="shared" si="19"/>
        <v>513152.45851041807</v>
      </c>
      <c r="CA19" s="5">
        <f t="shared" si="19"/>
        <v>518283.98309552227</v>
      </c>
      <c r="CB19" s="5">
        <f t="shared" si="19"/>
        <v>523466.82292647747</v>
      </c>
      <c r="CC19" s="5">
        <f t="shared" si="19"/>
        <v>528701.4911557422</v>
      </c>
      <c r="CD19" s="5">
        <f t="shared" si="19"/>
        <v>533988.50606729963</v>
      </c>
      <c r="CE19" s="5">
        <f t="shared" si="19"/>
        <v>539328.39112797263</v>
      </c>
      <c r="CF19" s="5">
        <f t="shared" si="19"/>
        <v>544721.67503925238</v>
      </c>
      <c r="CG19" s="5">
        <f t="shared" si="19"/>
        <v>550168.89178964496</v>
      </c>
      <c r="CH19" s="5">
        <f t="shared" ref="CH19:DN19" si="20">CG19*(1+$X$23)</f>
        <v>555670.58070754143</v>
      </c>
      <c r="CI19" s="5">
        <f t="shared" si="20"/>
        <v>561227.2865146168</v>
      </c>
      <c r="CJ19" s="5">
        <f t="shared" si="20"/>
        <v>566839.55937976297</v>
      </c>
      <c r="CK19" s="5">
        <f t="shared" si="20"/>
        <v>572507.95497356064</v>
      </c>
      <c r="CL19" s="5">
        <f t="shared" si="20"/>
        <v>578233.03452329629</v>
      </c>
      <c r="CM19" s="5">
        <f t="shared" si="20"/>
        <v>584015.36486852926</v>
      </c>
      <c r="CN19" s="5">
        <f t="shared" si="20"/>
        <v>589855.51851721457</v>
      </c>
      <c r="CO19" s="5">
        <f t="shared" si="20"/>
        <v>595754.0737023867</v>
      </c>
      <c r="CP19" s="5">
        <f t="shared" si="20"/>
        <v>601711.61443941062</v>
      </c>
      <c r="CQ19" s="5">
        <f t="shared" si="20"/>
        <v>607728.73058380478</v>
      </c>
      <c r="CR19" s="5">
        <f t="shared" si="20"/>
        <v>613806.01788964286</v>
      </c>
      <c r="CS19" s="5">
        <f t="shared" si="20"/>
        <v>619944.07806853927</v>
      </c>
      <c r="CT19" s="5">
        <f t="shared" si="20"/>
        <v>626143.51884922467</v>
      </c>
      <c r="CU19" s="5">
        <f t="shared" si="20"/>
        <v>632404.95403771696</v>
      </c>
      <c r="CV19" s="5">
        <f t="shared" si="20"/>
        <v>638729.00357809418</v>
      </c>
      <c r="CW19" s="5">
        <f t="shared" si="20"/>
        <v>645116.29361387517</v>
      </c>
      <c r="CX19" s="5">
        <f t="shared" si="20"/>
        <v>651567.45655001397</v>
      </c>
      <c r="CY19" s="5">
        <f t="shared" si="20"/>
        <v>658083.13111551409</v>
      </c>
      <c r="CZ19" s="5">
        <f t="shared" si="20"/>
        <v>664663.9624266692</v>
      </c>
      <c r="DA19" s="5">
        <f t="shared" si="20"/>
        <v>671310.60205093585</v>
      </c>
      <c r="DB19" s="5">
        <f t="shared" si="20"/>
        <v>678023.70807144523</v>
      </c>
      <c r="DC19" s="5">
        <f t="shared" si="20"/>
        <v>684803.94515215966</v>
      </c>
      <c r="DD19" s="5">
        <f t="shared" si="20"/>
        <v>691651.98460368125</v>
      </c>
      <c r="DE19" s="5">
        <f t="shared" si="20"/>
        <v>698568.50444971805</v>
      </c>
      <c r="DF19" s="5">
        <f t="shared" si="20"/>
        <v>705554.18949421518</v>
      </c>
      <c r="DG19" s="5">
        <f t="shared" si="20"/>
        <v>712609.73138915736</v>
      </c>
      <c r="DH19" s="5">
        <f t="shared" si="20"/>
        <v>719735.82870304899</v>
      </c>
      <c r="DI19" s="5">
        <f t="shared" si="20"/>
        <v>726933.18699007947</v>
      </c>
      <c r="DJ19" s="5">
        <f t="shared" si="20"/>
        <v>734202.51885998028</v>
      </c>
      <c r="DK19" s="5">
        <f t="shared" si="20"/>
        <v>741544.54404858011</v>
      </c>
      <c r="DL19" s="5">
        <f t="shared" si="20"/>
        <v>748959.98948906595</v>
      </c>
      <c r="DM19" s="5">
        <f t="shared" si="20"/>
        <v>756449.58938395663</v>
      </c>
      <c r="DN19" s="5">
        <f t="shared" si="20"/>
        <v>764014.08527779626</v>
      </c>
    </row>
    <row r="20" spans="2:118" x14ac:dyDescent="0.2">
      <c r="B20" s="8" t="s">
        <v>1</v>
      </c>
      <c r="N20" s="8">
        <v>7540</v>
      </c>
      <c r="O20" s="8">
        <v>7472</v>
      </c>
      <c r="P20" s="8">
        <v>7469</v>
      </c>
      <c r="Q20" s="8">
        <v>7469</v>
      </c>
      <c r="R20" s="8">
        <v>7469</v>
      </c>
      <c r="S20" s="8">
        <v>7469</v>
      </c>
      <c r="T20" s="8">
        <v>7469</v>
      </c>
      <c r="U20" s="8">
        <v>7469</v>
      </c>
    </row>
    <row r="21" spans="2:118" x14ac:dyDescent="0.2">
      <c r="B21" s="8" t="s">
        <v>22</v>
      </c>
      <c r="N21" s="10">
        <f>N19/N20</f>
        <v>9.6469496021220156</v>
      </c>
      <c r="O21" s="10">
        <f t="shared" ref="O21:U21" si="21">O19/O20</f>
        <v>9.6842880085653107</v>
      </c>
      <c r="P21" s="10">
        <f t="shared" si="21"/>
        <v>11.800240996117285</v>
      </c>
      <c r="Q21" s="10">
        <f t="shared" si="21"/>
        <v>14.692509799001416</v>
      </c>
      <c r="R21" s="10">
        <f t="shared" si="21"/>
        <v>18.300076616927587</v>
      </c>
      <c r="S21" s="10">
        <f t="shared" si="21"/>
        <v>23.446954252743271</v>
      </c>
      <c r="T21" s="10">
        <f t="shared" si="21"/>
        <v>30.168761815573617</v>
      </c>
      <c r="U21" s="10">
        <f t="shared" si="21"/>
        <v>38.964189684348533</v>
      </c>
    </row>
    <row r="22" spans="2:118" x14ac:dyDescent="0.2">
      <c r="W22" s="8" t="s">
        <v>41</v>
      </c>
      <c r="X22" s="11">
        <v>0.02</v>
      </c>
    </row>
    <row r="23" spans="2:118" s="5" customFormat="1" x14ac:dyDescent="0.2">
      <c r="B23" s="5" t="s">
        <v>23</v>
      </c>
      <c r="O23" s="6">
        <f t="shared" ref="O23:U23" si="22">O7/N7-1</f>
        <v>6.8820295556564215E-2</v>
      </c>
      <c r="P23" s="6">
        <f t="shared" si="22"/>
        <v>0.1566996201307127</v>
      </c>
      <c r="Q23" s="6">
        <f t="shared" si="22"/>
        <v>0.23144814962889226</v>
      </c>
      <c r="R23" s="6">
        <f t="shared" si="22"/>
        <v>0.24417739817932471</v>
      </c>
      <c r="S23" s="6">
        <f t="shared" si="22"/>
        <v>0.25288957025141134</v>
      </c>
      <c r="T23" s="6">
        <f t="shared" si="22"/>
        <v>0.26051850665011744</v>
      </c>
      <c r="U23" s="6">
        <f t="shared" si="22"/>
        <v>0.26711228926932118</v>
      </c>
      <c r="W23" s="8" t="s">
        <v>42</v>
      </c>
      <c r="X23" s="11">
        <v>0.01</v>
      </c>
    </row>
    <row r="24" spans="2:118" s="5" customFormat="1" x14ac:dyDescent="0.2">
      <c r="B24" s="8" t="s">
        <v>46</v>
      </c>
      <c r="O24" s="6">
        <f>O5/N5-1</f>
        <v>-0.11044657097288679</v>
      </c>
      <c r="P24" s="6">
        <f>P5/O5-1</f>
        <v>1.1437580178983442E-3</v>
      </c>
      <c r="Q24" s="6">
        <f t="shared" ref="Q24:U24" si="23">Q5/P5-1</f>
        <v>4.0577606924695919E-2</v>
      </c>
      <c r="R24" s="6">
        <f t="shared" si="23"/>
        <v>5.0000000000000044E-2</v>
      </c>
      <c r="S24" s="6">
        <f t="shared" si="23"/>
        <v>5.0000000000000044E-2</v>
      </c>
      <c r="T24" s="6">
        <f t="shared" si="23"/>
        <v>5.0000000000000044E-2</v>
      </c>
      <c r="U24" s="6">
        <f t="shared" si="23"/>
        <v>5.0000000000000044E-2</v>
      </c>
      <c r="W24" s="8" t="s">
        <v>43</v>
      </c>
      <c r="X24" s="11">
        <v>0.08</v>
      </c>
    </row>
    <row r="25" spans="2:118" s="5" customFormat="1" x14ac:dyDescent="0.2">
      <c r="B25" s="8" t="s">
        <v>47</v>
      </c>
      <c r="N25" s="6"/>
      <c r="O25" s="6">
        <f>O6/N6-1</f>
        <v>0.17268078191463943</v>
      </c>
      <c r="P25" s="6">
        <f>P6/O6-1</f>
        <v>0.2250638517552439</v>
      </c>
      <c r="Q25" s="6">
        <f t="shared" ref="Q25:U25" si="24">Q6/P6-1</f>
        <v>0.30000000000000004</v>
      </c>
      <c r="R25" s="6">
        <f t="shared" si="24"/>
        <v>0.29999999999999982</v>
      </c>
      <c r="S25" s="6">
        <f t="shared" si="24"/>
        <v>0.30000000000000004</v>
      </c>
      <c r="T25" s="6">
        <f t="shared" si="24"/>
        <v>0.30000000000000004</v>
      </c>
      <c r="U25" s="6">
        <f t="shared" si="24"/>
        <v>0.30000000000000004</v>
      </c>
      <c r="W25" s="8" t="s">
        <v>44</v>
      </c>
      <c r="X25" s="5">
        <f>NPV(X24,Q36:XFD36)+Main!I6-Main!I7</f>
        <v>3147066.7074977029</v>
      </c>
    </row>
    <row r="26" spans="2:118" x14ac:dyDescent="0.2">
      <c r="B26" s="8" t="s">
        <v>24</v>
      </c>
      <c r="N26" s="11">
        <f>N18/N17</f>
        <v>0.13113383343685794</v>
      </c>
      <c r="O26" s="11">
        <f t="shared" ref="O26:P26" si="25">O18/O17</f>
        <v>0.18978625253328257</v>
      </c>
      <c r="P26" s="11">
        <f t="shared" si="25"/>
        <v>0.18231326597827197</v>
      </c>
      <c r="Q26" s="11">
        <v>0.19</v>
      </c>
      <c r="R26" s="11">
        <v>0.19</v>
      </c>
      <c r="S26" s="11">
        <v>0.19</v>
      </c>
      <c r="T26" s="11">
        <v>0.19</v>
      </c>
      <c r="U26" s="11">
        <v>0.19</v>
      </c>
      <c r="W26" s="8" t="s">
        <v>0</v>
      </c>
      <c r="X26" s="8">
        <f>X25/Main!I4</f>
        <v>423.33526063120718</v>
      </c>
    </row>
    <row r="27" spans="2:118" x14ac:dyDescent="0.2">
      <c r="W27" s="8" t="s">
        <v>45</v>
      </c>
      <c r="X27" s="11">
        <f>X26/Main!I3-1</f>
        <v>-0.22181018266322206</v>
      </c>
    </row>
    <row r="28" spans="2:118" s="5" customFormat="1" x14ac:dyDescent="0.2">
      <c r="B28" s="5" t="s">
        <v>25</v>
      </c>
      <c r="N28" s="6">
        <f>N10/N7</f>
        <v>0.68401674484289099</v>
      </c>
      <c r="O28" s="6">
        <f t="shared" ref="O28:U28" si="26">O10/O7</f>
        <v>0.68920085883491022</v>
      </c>
      <c r="P28" s="6">
        <f t="shared" si="26"/>
        <v>0.69764443827971379</v>
      </c>
      <c r="Q28" s="6">
        <f t="shared" si="26"/>
        <v>0.70002434263747992</v>
      </c>
      <c r="R28" s="6">
        <f t="shared" si="26"/>
        <v>0.70321857327732407</v>
      </c>
      <c r="S28" s="6">
        <f t="shared" si="26"/>
        <v>0.70703351636141099</v>
      </c>
      <c r="T28" s="6">
        <f t="shared" si="26"/>
        <v>0.71141997322909634</v>
      </c>
      <c r="U28" s="6">
        <f t="shared" si="26"/>
        <v>0.71632135751465542</v>
      </c>
    </row>
    <row r="29" spans="2:118" s="5" customFormat="1" x14ac:dyDescent="0.2">
      <c r="B29" s="8" t="s">
        <v>39</v>
      </c>
      <c r="N29" s="11">
        <f>1-N8/N5</f>
        <v>0.73788703734257277</v>
      </c>
      <c r="O29" s="11">
        <f t="shared" ref="O29:P29" si="27">1-O8/O5</f>
        <v>0.72481800336944935</v>
      </c>
      <c r="P29" s="11">
        <f t="shared" si="27"/>
        <v>0.76422274713229277</v>
      </c>
      <c r="Q29" s="11">
        <f>P29*1.005</f>
        <v>0.76804386086795418</v>
      </c>
      <c r="R29" s="11">
        <f t="shared" ref="R29:U29" si="28">Q29*1.005</f>
        <v>0.77188408017229382</v>
      </c>
      <c r="S29" s="11">
        <f t="shared" si="28"/>
        <v>0.77574350057315522</v>
      </c>
      <c r="T29" s="11">
        <f t="shared" si="28"/>
        <v>0.77962221807602095</v>
      </c>
      <c r="U29" s="11">
        <f t="shared" si="28"/>
        <v>0.78352032916640102</v>
      </c>
    </row>
    <row r="30" spans="2:118" s="5" customFormat="1" x14ac:dyDescent="0.2">
      <c r="B30" s="8" t="s">
        <v>40</v>
      </c>
      <c r="N30" s="11">
        <f>1-N9/N6</f>
        <v>0.65280632159186858</v>
      </c>
      <c r="O30" s="11">
        <f t="shared" ref="O30:P30" si="29">1-O9/O6</f>
        <v>0.67354771220519516</v>
      </c>
      <c r="P30" s="11">
        <f t="shared" si="29"/>
        <v>0.67373259624394921</v>
      </c>
      <c r="Q30" s="11">
        <f>P30*1.01</f>
        <v>0.68046992220638869</v>
      </c>
      <c r="R30" s="11">
        <f t="shared" ref="R30:U30" si="30">Q30*1.01</f>
        <v>0.68727462142845264</v>
      </c>
      <c r="S30" s="11">
        <f t="shared" si="30"/>
        <v>0.69414736764273721</v>
      </c>
      <c r="T30" s="11">
        <f t="shared" si="30"/>
        <v>0.7010888413191646</v>
      </c>
      <c r="U30" s="11">
        <f t="shared" si="30"/>
        <v>0.70809972973235624</v>
      </c>
    </row>
    <row r="31" spans="2:118" x14ac:dyDescent="0.2">
      <c r="B31" s="8" t="s">
        <v>26</v>
      </c>
      <c r="N31" s="11">
        <f>N15/N7</f>
        <v>0.4205527815604983</v>
      </c>
      <c r="O31" s="11">
        <f t="shared" ref="O31:U31" si="31">O15/O7</f>
        <v>0.41772880636104098</v>
      </c>
      <c r="P31" s="11">
        <f t="shared" si="31"/>
        <v>0.44644299573273716</v>
      </c>
      <c r="Q31" s="11">
        <f t="shared" si="31"/>
        <v>0.4488229000905033</v>
      </c>
      <c r="R31" s="11">
        <f t="shared" si="31"/>
        <v>0.45201713073034749</v>
      </c>
      <c r="S31" s="11">
        <f t="shared" si="31"/>
        <v>0.45583207381443436</v>
      </c>
      <c r="T31" s="11">
        <f t="shared" si="31"/>
        <v>0.46021853068211976</v>
      </c>
      <c r="U31" s="11">
        <f t="shared" si="31"/>
        <v>0.46511991496767874</v>
      </c>
    </row>
    <row r="32" spans="2:118" x14ac:dyDescent="0.2">
      <c r="B32" s="8" t="s">
        <v>27</v>
      </c>
    </row>
    <row r="34" spans="2:124" x14ac:dyDescent="0.2">
      <c r="B34" s="8" t="s">
        <v>28</v>
      </c>
      <c r="N34" s="8">
        <v>89035</v>
      </c>
      <c r="O34" s="8">
        <v>87582</v>
      </c>
      <c r="P34" s="8">
        <v>118548</v>
      </c>
      <c r="Q34" s="8">
        <f>Q19*1.35</f>
        <v>148146.78017980114</v>
      </c>
      <c r="R34" s="8">
        <f t="shared" ref="R34:U34" si="32">R19*1.35</f>
        <v>184522.41753997342</v>
      </c>
      <c r="S34" s="8">
        <f t="shared" si="32"/>
        <v>236419.15677354834</v>
      </c>
      <c r="T34" s="8">
        <f t="shared" si="32"/>
        <v>304196.15070070111</v>
      </c>
      <c r="U34" s="8">
        <f t="shared" si="32"/>
        <v>392881.76921573898</v>
      </c>
    </row>
    <row r="35" spans="2:124" x14ac:dyDescent="0.2">
      <c r="B35" s="8" t="s">
        <v>29</v>
      </c>
      <c r="N35" s="8">
        <v>23886</v>
      </c>
      <c r="O35" s="8">
        <v>28107</v>
      </c>
      <c r="P35" s="8">
        <v>44477</v>
      </c>
      <c r="Q35" s="8">
        <v>100000</v>
      </c>
      <c r="R35" s="8">
        <f>Q35*1.05</f>
        <v>105000</v>
      </c>
      <c r="S35" s="8">
        <f t="shared" ref="S35:U35" si="33">R35*1.05</f>
        <v>110250</v>
      </c>
      <c r="T35" s="8">
        <f t="shared" si="33"/>
        <v>115762.5</v>
      </c>
      <c r="U35" s="8">
        <f t="shared" si="33"/>
        <v>121550.625</v>
      </c>
    </row>
    <row r="36" spans="2:124" s="5" customFormat="1" x14ac:dyDescent="0.2">
      <c r="B36" s="5" t="s">
        <v>30</v>
      </c>
      <c r="N36" s="5">
        <f>N34-N35</f>
        <v>65149</v>
      </c>
      <c r="O36" s="5">
        <f t="shared" ref="O36:P36" si="34">O34-O35</f>
        <v>59475</v>
      </c>
      <c r="P36" s="5">
        <f t="shared" si="34"/>
        <v>74071</v>
      </c>
      <c r="Q36" s="5">
        <f t="shared" ref="Q36" si="35">Q34-Q35</f>
        <v>48146.780179801135</v>
      </c>
      <c r="R36" s="5">
        <f t="shared" ref="R36" si="36">R34-R35</f>
        <v>79522.417539973423</v>
      </c>
      <c r="S36" s="5">
        <f t="shared" ref="S36" si="37">S34-S35</f>
        <v>126169.15677354834</v>
      </c>
      <c r="T36" s="5">
        <f t="shared" ref="T36" si="38">T34-T35</f>
        <v>188433.65070070111</v>
      </c>
      <c r="U36" s="5">
        <f t="shared" ref="U36:V36" si="39">U34-U35</f>
        <v>271331.14421573898</v>
      </c>
      <c r="V36" s="5">
        <f t="shared" ref="V36:BA36" si="40">U36*(1+$X$23)</f>
        <v>274044.45565789635</v>
      </c>
      <c r="W36" s="5">
        <f t="shared" si="40"/>
        <v>276784.90021447535</v>
      </c>
      <c r="X36" s="5">
        <f t="shared" si="40"/>
        <v>279552.74921662011</v>
      </c>
      <c r="Y36" s="5">
        <f t="shared" si="40"/>
        <v>282348.27670878632</v>
      </c>
      <c r="Z36" s="5">
        <f t="shared" si="40"/>
        <v>285171.75947587419</v>
      </c>
      <c r="AA36" s="5">
        <f t="shared" si="40"/>
        <v>288023.47707063291</v>
      </c>
      <c r="AB36" s="5">
        <f t="shared" si="40"/>
        <v>290903.71184133925</v>
      </c>
      <c r="AC36" s="5">
        <f t="shared" si="40"/>
        <v>293812.74895975261</v>
      </c>
      <c r="AD36" s="5">
        <f t="shared" si="40"/>
        <v>296750.87644935015</v>
      </c>
      <c r="AE36" s="5">
        <f t="shared" si="40"/>
        <v>299718.38521384366</v>
      </c>
      <c r="AF36" s="5">
        <f t="shared" si="40"/>
        <v>302715.56906598213</v>
      </c>
      <c r="AG36" s="5">
        <f t="shared" si="40"/>
        <v>305742.72475664195</v>
      </c>
      <c r="AH36" s="5">
        <f t="shared" si="40"/>
        <v>308800.15200420836</v>
      </c>
      <c r="AI36" s="5">
        <f t="shared" si="40"/>
        <v>311888.15352425043</v>
      </c>
      <c r="AJ36" s="5">
        <f t="shared" si="40"/>
        <v>315007.03505949292</v>
      </c>
      <c r="AK36" s="5">
        <f t="shared" si="40"/>
        <v>318157.10541008785</v>
      </c>
      <c r="AL36" s="5">
        <f t="shared" si="40"/>
        <v>321338.67646418873</v>
      </c>
      <c r="AM36" s="5">
        <f t="shared" si="40"/>
        <v>324552.06322883064</v>
      </c>
      <c r="AN36" s="5">
        <f t="shared" si="40"/>
        <v>327797.58386111894</v>
      </c>
      <c r="AO36" s="5">
        <f t="shared" si="40"/>
        <v>331075.55969973013</v>
      </c>
      <c r="AP36" s="5">
        <f t="shared" si="40"/>
        <v>334386.31529672747</v>
      </c>
      <c r="AQ36" s="5">
        <f t="shared" si="40"/>
        <v>337730.17844969477</v>
      </c>
      <c r="AR36" s="5">
        <f t="shared" si="40"/>
        <v>341107.48023419169</v>
      </c>
      <c r="AS36" s="5">
        <f t="shared" si="40"/>
        <v>344518.55503653362</v>
      </c>
      <c r="AT36" s="5">
        <f t="shared" si="40"/>
        <v>347963.74058689899</v>
      </c>
      <c r="AU36" s="5">
        <f t="shared" si="40"/>
        <v>351443.37799276796</v>
      </c>
      <c r="AV36" s="5">
        <f t="shared" si="40"/>
        <v>354957.81177269563</v>
      </c>
      <c r="AW36" s="5">
        <f t="shared" si="40"/>
        <v>358507.38989042258</v>
      </c>
      <c r="AX36" s="5">
        <f t="shared" si="40"/>
        <v>362092.46378932678</v>
      </c>
      <c r="AY36" s="5">
        <f t="shared" si="40"/>
        <v>365713.38842722005</v>
      </c>
      <c r="AZ36" s="5">
        <f t="shared" si="40"/>
        <v>369370.52231149224</v>
      </c>
      <c r="BA36" s="5">
        <f t="shared" si="40"/>
        <v>373064.22753460717</v>
      </c>
      <c r="BB36" s="5">
        <f t="shared" ref="BB36:CG36" si="41">BA36*(1+$X$23)</f>
        <v>376794.86980995326</v>
      </c>
      <c r="BC36" s="5">
        <f t="shared" si="41"/>
        <v>380562.81850805279</v>
      </c>
      <c r="BD36" s="5">
        <f t="shared" si="41"/>
        <v>384368.44669313333</v>
      </c>
      <c r="BE36" s="5">
        <f t="shared" si="41"/>
        <v>388212.13116006466</v>
      </c>
      <c r="BF36" s="5">
        <f t="shared" si="41"/>
        <v>392094.25247166533</v>
      </c>
      <c r="BG36" s="5">
        <f t="shared" si="41"/>
        <v>396015.19499638199</v>
      </c>
      <c r="BH36" s="5">
        <f t="shared" si="41"/>
        <v>399975.34694634582</v>
      </c>
      <c r="BI36" s="5">
        <f t="shared" si="41"/>
        <v>403975.10041580925</v>
      </c>
      <c r="BJ36" s="5">
        <f t="shared" si="41"/>
        <v>408014.85141996737</v>
      </c>
      <c r="BK36" s="5">
        <f t="shared" si="41"/>
        <v>412094.99993416702</v>
      </c>
      <c r="BL36" s="5">
        <f t="shared" si="41"/>
        <v>416215.9499335087</v>
      </c>
      <c r="BM36" s="5">
        <f t="shared" si="41"/>
        <v>420378.1094328438</v>
      </c>
      <c r="BN36" s="5">
        <f t="shared" si="41"/>
        <v>424581.89052717225</v>
      </c>
      <c r="BO36" s="5">
        <f t="shared" si="41"/>
        <v>428827.70943244395</v>
      </c>
      <c r="BP36" s="5">
        <f t="shared" si="41"/>
        <v>433115.98652676842</v>
      </c>
      <c r="BQ36" s="5">
        <f t="shared" si="41"/>
        <v>437447.14639203611</v>
      </c>
      <c r="BR36" s="5">
        <f t="shared" si="41"/>
        <v>441821.61785595649</v>
      </c>
      <c r="BS36" s="5">
        <f t="shared" si="41"/>
        <v>446239.83403451607</v>
      </c>
      <c r="BT36" s="5">
        <f t="shared" si="41"/>
        <v>450702.23237486125</v>
      </c>
      <c r="BU36" s="5">
        <f t="shared" si="41"/>
        <v>455209.25469860988</v>
      </c>
      <c r="BV36" s="5">
        <f t="shared" si="41"/>
        <v>459761.347245596</v>
      </c>
      <c r="BW36" s="5">
        <f t="shared" si="41"/>
        <v>464358.96071805194</v>
      </c>
      <c r="BX36" s="5">
        <f t="shared" si="41"/>
        <v>469002.55032523244</v>
      </c>
      <c r="BY36" s="5">
        <f t="shared" si="41"/>
        <v>473692.57582848478</v>
      </c>
      <c r="BZ36" s="5">
        <f t="shared" si="41"/>
        <v>478429.50158676965</v>
      </c>
      <c r="CA36" s="5">
        <f t="shared" si="41"/>
        <v>483213.79660263733</v>
      </c>
      <c r="CB36" s="5">
        <f t="shared" si="41"/>
        <v>488045.93456866371</v>
      </c>
      <c r="CC36" s="5">
        <f t="shared" si="41"/>
        <v>492926.39391435037</v>
      </c>
      <c r="CD36" s="5">
        <f t="shared" si="41"/>
        <v>497855.65785349387</v>
      </c>
      <c r="CE36" s="5">
        <f t="shared" si="41"/>
        <v>502834.21443202882</v>
      </c>
      <c r="CF36" s="5">
        <f t="shared" si="41"/>
        <v>507862.55657634913</v>
      </c>
      <c r="CG36" s="5">
        <f t="shared" si="41"/>
        <v>512941.18214211264</v>
      </c>
      <c r="CH36" s="5">
        <f t="shared" ref="CH36:DM36" si="42">CG36*(1+$X$23)</f>
        <v>518070.59396353376</v>
      </c>
      <c r="CI36" s="5">
        <f t="shared" si="42"/>
        <v>523251.2999031691</v>
      </c>
      <c r="CJ36" s="5">
        <f t="shared" si="42"/>
        <v>528483.81290220085</v>
      </c>
      <c r="CK36" s="5">
        <f t="shared" si="42"/>
        <v>533768.65103122289</v>
      </c>
      <c r="CL36" s="5">
        <f t="shared" si="42"/>
        <v>539106.33754153515</v>
      </c>
      <c r="CM36" s="5">
        <f t="shared" si="42"/>
        <v>544497.40091695054</v>
      </c>
      <c r="CN36" s="5">
        <f t="shared" si="42"/>
        <v>549942.37492612004</v>
      </c>
      <c r="CO36" s="5">
        <f t="shared" si="42"/>
        <v>555441.79867538123</v>
      </c>
      <c r="CP36" s="5">
        <f t="shared" si="42"/>
        <v>560996.21666213509</v>
      </c>
      <c r="CQ36" s="5">
        <f t="shared" si="42"/>
        <v>566606.17882875644</v>
      </c>
      <c r="CR36" s="5">
        <f t="shared" si="42"/>
        <v>572272.24061704404</v>
      </c>
      <c r="CS36" s="5">
        <f t="shared" si="42"/>
        <v>577994.96302321448</v>
      </c>
      <c r="CT36" s="5">
        <f t="shared" si="42"/>
        <v>583774.91265344666</v>
      </c>
      <c r="CU36" s="5">
        <f t="shared" si="42"/>
        <v>589612.66177998111</v>
      </c>
      <c r="CV36" s="5">
        <f t="shared" si="42"/>
        <v>595508.78839778097</v>
      </c>
      <c r="CW36" s="5">
        <f t="shared" si="42"/>
        <v>601463.87628175877</v>
      </c>
      <c r="CX36" s="5">
        <f t="shared" si="42"/>
        <v>607478.51504457637</v>
      </c>
      <c r="CY36" s="5">
        <f t="shared" si="42"/>
        <v>613553.30019502214</v>
      </c>
      <c r="CZ36" s="5">
        <f t="shared" si="42"/>
        <v>619688.83319697238</v>
      </c>
      <c r="DA36" s="5">
        <f t="shared" si="42"/>
        <v>625885.72152894211</v>
      </c>
      <c r="DB36" s="5">
        <f t="shared" si="42"/>
        <v>632144.57874423149</v>
      </c>
      <c r="DC36" s="5">
        <f t="shared" si="42"/>
        <v>638466.02453167376</v>
      </c>
      <c r="DD36" s="5">
        <f t="shared" si="42"/>
        <v>644850.68477699044</v>
      </c>
      <c r="DE36" s="5">
        <f t="shared" si="42"/>
        <v>651299.19162476039</v>
      </c>
      <c r="DF36" s="5">
        <f t="shared" si="42"/>
        <v>657812.18354100804</v>
      </c>
      <c r="DG36" s="5">
        <f t="shared" si="42"/>
        <v>664390.30537641817</v>
      </c>
      <c r="DH36" s="5">
        <f t="shared" si="42"/>
        <v>671034.20843018231</v>
      </c>
      <c r="DI36" s="5">
        <f t="shared" si="42"/>
        <v>677744.55051448417</v>
      </c>
      <c r="DJ36" s="5">
        <f t="shared" si="42"/>
        <v>684521.99601962906</v>
      </c>
      <c r="DK36" s="5">
        <f t="shared" si="42"/>
        <v>691367.21597982536</v>
      </c>
      <c r="DL36" s="5">
        <f t="shared" si="42"/>
        <v>698280.88813962357</v>
      </c>
      <c r="DM36" s="5">
        <f t="shared" si="42"/>
        <v>705263.69702101976</v>
      </c>
      <c r="DN36" s="5">
        <f t="shared" ref="DN36:DT36" si="43">DM36*(1+$X$23)</f>
        <v>712316.33399123</v>
      </c>
      <c r="DO36" s="5">
        <f t="shared" si="43"/>
        <v>719439.49733114231</v>
      </c>
      <c r="DP36" s="5">
        <f t="shared" si="43"/>
        <v>726633.89230445377</v>
      </c>
      <c r="DQ36" s="5">
        <f t="shared" si="43"/>
        <v>733900.23122749827</v>
      </c>
      <c r="DR36" s="5">
        <f t="shared" si="43"/>
        <v>741239.23353977327</v>
      </c>
      <c r="DS36" s="5">
        <f t="shared" si="43"/>
        <v>748651.62587517104</v>
      </c>
      <c r="DT36" s="5">
        <f t="shared" si="43"/>
        <v>756138.14213392278</v>
      </c>
    </row>
    <row r="37" spans="2:124" s="5" customFormat="1" x14ac:dyDescent="0.2"/>
    <row r="38" spans="2:124" x14ac:dyDescent="0.2">
      <c r="B38" s="8" t="s">
        <v>31</v>
      </c>
      <c r="H38" s="8">
        <f>H39-H41</f>
        <v>-50766</v>
      </c>
      <c r="I38" s="8">
        <f>H38+I19</f>
        <v>-50766</v>
      </c>
      <c r="J38" s="8">
        <f>I38+J19</f>
        <v>-50766</v>
      </c>
      <c r="Q38" s="8">
        <f>J38</f>
        <v>-50766</v>
      </c>
      <c r="R38" s="8">
        <f>Q38+R19</f>
        <v>85917.272251832153</v>
      </c>
      <c r="S38" s="8">
        <f>R38+S19</f>
        <v>261042.57356557166</v>
      </c>
      <c r="T38" s="8">
        <f>S38+T19</f>
        <v>486373.05556609097</v>
      </c>
      <c r="U38" s="8">
        <f>T38+U19</f>
        <v>777396.58831849019</v>
      </c>
    </row>
    <row r="39" spans="2:124" x14ac:dyDescent="0.2">
      <c r="B39" s="8" t="s">
        <v>3</v>
      </c>
      <c r="H39" s="8">
        <f>17482+54073</f>
        <v>71555</v>
      </c>
    </row>
    <row r="41" spans="2:124" x14ac:dyDescent="0.2">
      <c r="B41" s="8" t="s">
        <v>4</v>
      </c>
      <c r="H41" s="8">
        <f>39722+24389+2537+2513+17254+35906</f>
        <v>122321</v>
      </c>
    </row>
  </sheetData>
  <hyperlinks>
    <hyperlink ref="A1" location="Sheet1!A1" display="Main" xr:uid="{DA1959CE-4061-4CA1-B4C4-0C2C2C4229D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2025-04-28T19:55:14Z</dcterms:created>
  <dcterms:modified xsi:type="dcterms:W3CDTF">2025-08-19T02:32:15Z</dcterms:modified>
</cp:coreProperties>
</file>