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E0E74F79-376B-4987-BF69-70F35C4456FB}" xr6:coauthVersionLast="47" xr6:coauthVersionMax="47" xr10:uidLastSave="{00000000-0000-0000-0000-000000000000}"/>
  <bookViews>
    <workbookView xWindow="2760" yWindow="195" windowWidth="22200" windowHeight="14805" xr2:uid="{A01DB42C-5223-4941-B241-BC5C0C7D8EF1}"/>
  </bookViews>
  <sheets>
    <sheet name="Main" sheetId="1" r:id="rId1"/>
    <sheet name="Model" sheetId="2" r:id="rId2"/>
    <sheet name="Literatur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93" i="2" l="1"/>
  <c r="Z93" i="2"/>
  <c r="AA93" i="2"/>
  <c r="AB93" i="2"/>
  <c r="AC93" i="2"/>
  <c r="AD93" i="2"/>
  <c r="X93" i="2"/>
  <c r="AG51" i="2"/>
  <c r="AB13" i="2"/>
  <c r="AC13" i="2"/>
  <c r="AD13" i="2" s="1"/>
  <c r="AB14" i="2"/>
  <c r="AC14" i="2"/>
  <c r="AD14" i="2"/>
  <c r="AB15" i="2"/>
  <c r="AC15" i="2"/>
  <c r="AD15" i="2"/>
  <c r="AB16" i="2"/>
  <c r="AC16" i="2"/>
  <c r="AD16" i="2"/>
  <c r="AB17" i="2"/>
  <c r="AC17" i="2"/>
  <c r="AD17" i="2"/>
  <c r="AB18" i="2"/>
  <c r="AC18" i="2" s="1"/>
  <c r="AD18" i="2" s="1"/>
  <c r="AB19" i="2"/>
  <c r="AC19" i="2"/>
  <c r="AD19" i="2"/>
  <c r="AB20" i="2"/>
  <c r="AC20" i="2"/>
  <c r="AD20" i="2"/>
  <c r="AB21" i="2"/>
  <c r="AC21" i="2"/>
  <c r="AD21" i="2"/>
  <c r="AA14" i="2"/>
  <c r="AA15" i="2"/>
  <c r="AA16" i="2"/>
  <c r="AA17" i="2"/>
  <c r="AA18" i="2"/>
  <c r="AA19" i="2"/>
  <c r="AA20" i="2"/>
  <c r="AA21" i="2"/>
  <c r="AA13" i="2"/>
  <c r="Z15" i="2" l="1"/>
  <c r="Z14" i="2"/>
  <c r="Z13" i="2"/>
  <c r="Z16" i="2"/>
  <c r="Z17" i="2"/>
  <c r="Z18" i="2"/>
  <c r="Z19" i="2"/>
  <c r="Z20" i="2"/>
  <c r="Z21" i="2"/>
  <c r="Y21" i="2"/>
  <c r="Y20" i="2"/>
  <c r="Y19" i="2"/>
  <c r="Y18" i="2"/>
  <c r="Y17" i="2"/>
  <c r="Y16" i="2"/>
  <c r="Y15" i="2"/>
  <c r="Y14" i="2"/>
  <c r="Y13" i="2"/>
  <c r="AA10" i="2" l="1"/>
  <c r="M35" i="2"/>
  <c r="N35" i="2" s="1"/>
  <c r="M26" i="2"/>
  <c r="N26" i="2" s="1"/>
  <c r="Z24" i="2"/>
  <c r="AA24" i="2" s="1"/>
  <c r="AB24" i="2" s="1"/>
  <c r="AC24" i="2" s="1"/>
  <c r="AD24" i="2" s="1"/>
  <c r="AA23" i="2"/>
  <c r="AB23" i="2" s="1"/>
  <c r="AC23" i="2" s="1"/>
  <c r="C58" i="2"/>
  <c r="D58" i="2"/>
  <c r="E58" i="2"/>
  <c r="F58" i="2"/>
  <c r="J58" i="2"/>
  <c r="I58" i="2"/>
  <c r="H58" i="2"/>
  <c r="C56" i="2"/>
  <c r="C55" i="2"/>
  <c r="D35" i="2"/>
  <c r="D55" i="2" s="1"/>
  <c r="E35" i="2"/>
  <c r="F35" i="2"/>
  <c r="F55" i="2" s="1"/>
  <c r="G35" i="2"/>
  <c r="H35" i="2"/>
  <c r="I35" i="2"/>
  <c r="J35" i="2"/>
  <c r="K35" i="2"/>
  <c r="L38" i="2"/>
  <c r="L39" i="2"/>
  <c r="Z34" i="2"/>
  <c r="AA34" i="2" s="1"/>
  <c r="AB34" i="2" s="1"/>
  <c r="AC34" i="2" s="1"/>
  <c r="AD34" i="2" s="1"/>
  <c r="Z31" i="2"/>
  <c r="AA31" i="2" s="1"/>
  <c r="AB31" i="2" s="1"/>
  <c r="AC31" i="2" s="1"/>
  <c r="AD31" i="2" s="1"/>
  <c r="Z32" i="2"/>
  <c r="AA32" i="2" s="1"/>
  <c r="AB32" i="2" s="1"/>
  <c r="AC32" i="2" s="1"/>
  <c r="AD32" i="2" s="1"/>
  <c r="K101" i="2"/>
  <c r="K105" i="2" s="1"/>
  <c r="AA7" i="2" l="1"/>
  <c r="AA6" i="2"/>
  <c r="AA3" i="2"/>
  <c r="AA9" i="2"/>
  <c r="AB9" i="2" s="1"/>
  <c r="AC9" i="2" s="1"/>
  <c r="AD9" i="2" s="1"/>
  <c r="AA5" i="2"/>
  <c r="AA4" i="2"/>
  <c r="AB6" i="2"/>
  <c r="AC6" i="2" s="1"/>
  <c r="AD6" i="2" s="1"/>
  <c r="AB10" i="2"/>
  <c r="AC10" i="2" s="1"/>
  <c r="AD10" i="2" s="1"/>
  <c r="AB7" i="2"/>
  <c r="AC7" i="2" s="1"/>
  <c r="AD7" i="2" s="1"/>
  <c r="AA11" i="2"/>
  <c r="AB11" i="2" s="1"/>
  <c r="AC11" i="2" s="1"/>
  <c r="AD11" i="2" s="1"/>
  <c r="AA8" i="2"/>
  <c r="AB8" i="2" s="1"/>
  <c r="AC8" i="2" s="1"/>
  <c r="AD8" i="2" s="1"/>
  <c r="G51" i="2"/>
  <c r="O35" i="2"/>
  <c r="P35" i="2" s="1"/>
  <c r="Q35" i="2" s="1"/>
  <c r="R35" i="2" s="1"/>
  <c r="F56" i="2"/>
  <c r="J50" i="2"/>
  <c r="D56" i="2"/>
  <c r="E51" i="2"/>
  <c r="E55" i="2"/>
  <c r="I50" i="2"/>
  <c r="E56" i="2"/>
  <c r="H50" i="2"/>
  <c r="F51" i="2"/>
  <c r="K93" i="2"/>
  <c r="G99" i="2"/>
  <c r="K97" i="2"/>
  <c r="K99" i="2" s="1"/>
  <c r="AB4" i="2" l="1"/>
  <c r="AC4" i="2" s="1"/>
  <c r="AD4" i="2" s="1"/>
  <c r="AB3" i="2"/>
  <c r="AC3" i="2" s="1"/>
  <c r="AD3" i="2" s="1"/>
  <c r="AB5" i="2"/>
  <c r="AC5" i="2" s="1"/>
  <c r="AD5" i="2" s="1"/>
  <c r="G94" i="2"/>
  <c r="K94" i="2"/>
  <c r="K6" i="1"/>
  <c r="K5" i="1"/>
  <c r="G58" i="2"/>
  <c r="K58" i="2"/>
  <c r="L42" i="2" s="1"/>
  <c r="G76" i="2"/>
  <c r="K76" i="2"/>
  <c r="G69" i="2"/>
  <c r="K69" i="2"/>
  <c r="H51" i="2"/>
  <c r="I51" i="2"/>
  <c r="J51" i="2"/>
  <c r="K53" i="2"/>
  <c r="K52" i="2"/>
  <c r="U34" i="2"/>
  <c r="V34" i="2"/>
  <c r="W34" i="2"/>
  <c r="X34" i="2"/>
  <c r="Z33" i="2"/>
  <c r="AA33" i="2" s="1"/>
  <c r="AB33" i="2" s="1"/>
  <c r="AC33" i="2" s="1"/>
  <c r="AD33" i="2" s="1"/>
  <c r="M39" i="2"/>
  <c r="N39" i="2" s="1"/>
  <c r="N53" i="2" s="1"/>
  <c r="M38" i="2"/>
  <c r="N38" i="2" s="1"/>
  <c r="N52" i="2" s="1"/>
  <c r="Y52" i="2"/>
  <c r="Y53" i="2"/>
  <c r="X53" i="2"/>
  <c r="X52" i="2"/>
  <c r="V2" i="2"/>
  <c r="W2" i="2" s="1"/>
  <c r="X2" i="2" s="1"/>
  <c r="Y2" i="2" s="1"/>
  <c r="Z2" i="2" s="1"/>
  <c r="AA2" i="2" s="1"/>
  <c r="AB2" i="2" s="1"/>
  <c r="AC2" i="2" s="1"/>
  <c r="AD2" i="2" s="1"/>
  <c r="Z82" i="2"/>
  <c r="AA82" i="2" s="1"/>
  <c r="AB82" i="2" s="1"/>
  <c r="Y94" i="2"/>
  <c r="X94" i="2"/>
  <c r="L51" i="2"/>
  <c r="L36" i="2"/>
  <c r="L50" i="2"/>
  <c r="Z43" i="2"/>
  <c r="AB43" i="2" s="1"/>
  <c r="AC43" i="2" s="1"/>
  <c r="AD43" i="2" s="1"/>
  <c r="L47" i="2"/>
  <c r="M47" i="2" s="1"/>
  <c r="N47" i="2" s="1"/>
  <c r="Z47" i="2" s="1"/>
  <c r="AA47" i="2" s="1"/>
  <c r="AB47" i="2" s="1"/>
  <c r="AC47" i="2" s="1"/>
  <c r="AD47" i="2" s="1"/>
  <c r="K42" i="2"/>
  <c r="G42" i="2"/>
  <c r="H37" i="2"/>
  <c r="H55" i="2" s="1"/>
  <c r="I37" i="2"/>
  <c r="I55" i="2" s="1"/>
  <c r="J37" i="2"/>
  <c r="J55" i="2" s="1"/>
  <c r="H40" i="2"/>
  <c r="I40" i="2"/>
  <c r="J40" i="2"/>
  <c r="K40" i="2"/>
  <c r="G40" i="2"/>
  <c r="G37" i="2"/>
  <c r="T42" i="2"/>
  <c r="T40" i="2"/>
  <c r="T37" i="2"/>
  <c r="X42" i="2"/>
  <c r="W42" i="2"/>
  <c r="Y42" i="2"/>
  <c r="V50" i="2"/>
  <c r="U50" i="2"/>
  <c r="W50" i="2"/>
  <c r="Y50" i="2"/>
  <c r="X50" i="2"/>
  <c r="V37" i="2"/>
  <c r="W37" i="2"/>
  <c r="W55" i="2" s="1"/>
  <c r="X37" i="2"/>
  <c r="Y37" i="2"/>
  <c r="Y55" i="2" s="1"/>
  <c r="V40" i="2"/>
  <c r="W40" i="2"/>
  <c r="X40" i="2"/>
  <c r="Y40" i="2"/>
  <c r="V42" i="2"/>
  <c r="U42" i="2"/>
  <c r="U40" i="2"/>
  <c r="U37" i="2"/>
  <c r="U55" i="2" s="1"/>
  <c r="Y73" i="2"/>
  <c r="Y59" i="2"/>
  <c r="K4" i="1"/>
  <c r="K107" i="2" l="1"/>
  <c r="K109" i="2"/>
  <c r="G109" i="2"/>
  <c r="G107" i="2"/>
  <c r="K77" i="2"/>
  <c r="K78" i="2" s="1"/>
  <c r="M52" i="2"/>
  <c r="G77" i="2"/>
  <c r="G78" i="2" s="1"/>
  <c r="L53" i="2"/>
  <c r="L52" i="2"/>
  <c r="M53" i="2"/>
  <c r="Z35" i="2"/>
  <c r="AA35" i="2" s="1"/>
  <c r="AB35" i="2" s="1"/>
  <c r="AC35" i="2" s="1"/>
  <c r="AD35" i="2" s="1"/>
  <c r="L40" i="2"/>
  <c r="Z39" i="2"/>
  <c r="N40" i="2"/>
  <c r="Z38" i="2"/>
  <c r="AA38" i="2" s="1"/>
  <c r="AB38" i="2" s="1"/>
  <c r="AC38" i="2" s="1"/>
  <c r="AD38" i="2" s="1"/>
  <c r="M40" i="2"/>
  <c r="X109" i="2"/>
  <c r="Y109" i="2"/>
  <c r="AC82" i="2"/>
  <c r="K37" i="2"/>
  <c r="K41" i="2" s="1"/>
  <c r="K56" i="2" s="1"/>
  <c r="N50" i="2"/>
  <c r="L37" i="2"/>
  <c r="M50" i="2"/>
  <c r="K50" i="2"/>
  <c r="K51" i="2"/>
  <c r="N51" i="2"/>
  <c r="M51" i="2"/>
  <c r="N36" i="2"/>
  <c r="N37" i="2" s="1"/>
  <c r="M36" i="2"/>
  <c r="G41" i="2"/>
  <c r="G44" i="2" s="1"/>
  <c r="H41" i="2"/>
  <c r="H56" i="2" s="1"/>
  <c r="I41" i="2"/>
  <c r="I56" i="2" s="1"/>
  <c r="J41" i="2"/>
  <c r="J56" i="2" s="1"/>
  <c r="T41" i="2"/>
  <c r="T44" i="2" s="1"/>
  <c r="T46" i="2" s="1"/>
  <c r="G55" i="2"/>
  <c r="X41" i="2"/>
  <c r="V41" i="2"/>
  <c r="V44" i="2" s="1"/>
  <c r="X55" i="2"/>
  <c r="V55" i="2"/>
  <c r="U41" i="2"/>
  <c r="U44" i="2" s="1"/>
  <c r="Y41" i="2"/>
  <c r="W41" i="2"/>
  <c r="Y58" i="2"/>
  <c r="K7" i="1"/>
  <c r="L41" i="2" l="1"/>
  <c r="L44" i="2" s="1"/>
  <c r="L45" i="2" s="1"/>
  <c r="AA39" i="2"/>
  <c r="Z53" i="2"/>
  <c r="Z40" i="2"/>
  <c r="Z52" i="2"/>
  <c r="Z36" i="2"/>
  <c r="Z37" i="2" s="1"/>
  <c r="Z55" i="2" s="1"/>
  <c r="AD82" i="2"/>
  <c r="K55" i="2"/>
  <c r="M37" i="2"/>
  <c r="M41" i="2" s="1"/>
  <c r="M56" i="2" s="1"/>
  <c r="N41" i="2"/>
  <c r="N56" i="2" s="1"/>
  <c r="G46" i="2"/>
  <c r="H44" i="2"/>
  <c r="G56" i="2"/>
  <c r="J44" i="2"/>
  <c r="I44" i="2"/>
  <c r="L56" i="2"/>
  <c r="K44" i="2"/>
  <c r="Z50" i="2"/>
  <c r="Z96" i="2" s="1"/>
  <c r="Y44" i="2"/>
  <c r="Y46" i="2" s="1"/>
  <c r="Y80" i="2" s="1"/>
  <c r="Y56" i="2"/>
  <c r="W44" i="2"/>
  <c r="W46" i="2" s="1"/>
  <c r="W56" i="2"/>
  <c r="X44" i="2"/>
  <c r="X56" i="2"/>
  <c r="V46" i="2"/>
  <c r="V80" i="2" s="1"/>
  <c r="G48" i="2" l="1"/>
  <c r="G80" i="2"/>
  <c r="AA52" i="2"/>
  <c r="AB39" i="2"/>
  <c r="AA53" i="2"/>
  <c r="AA40" i="2"/>
  <c r="Z92" i="2"/>
  <c r="Z83" i="2"/>
  <c r="Z91" i="2"/>
  <c r="L46" i="2"/>
  <c r="K46" i="2"/>
  <c r="J46" i="2"/>
  <c r="J48" i="2" s="1"/>
  <c r="I46" i="2"/>
  <c r="I48" i="2" s="1"/>
  <c r="H46" i="2"/>
  <c r="H48" i="2" s="1"/>
  <c r="X46" i="2"/>
  <c r="X80" i="2" s="1"/>
  <c r="AA50" i="2"/>
  <c r="AA96" i="2" s="1"/>
  <c r="AA36" i="2"/>
  <c r="AA37" i="2" s="1"/>
  <c r="Y48" i="2"/>
  <c r="W80" i="2"/>
  <c r="W48" i="2"/>
  <c r="K48" i="2" l="1"/>
  <c r="K80" i="2"/>
  <c r="AC39" i="2"/>
  <c r="AB53" i="2"/>
  <c r="AB52" i="2"/>
  <c r="AB40" i="2"/>
  <c r="AA91" i="2"/>
  <c r="AA83" i="2"/>
  <c r="AA92" i="2"/>
  <c r="L48" i="2"/>
  <c r="L58" i="2"/>
  <c r="M42" i="2" s="1"/>
  <c r="X48" i="2"/>
  <c r="AB36" i="2"/>
  <c r="AB37" i="2" s="1"/>
  <c r="AB50" i="2"/>
  <c r="AB96" i="2" s="1"/>
  <c r="Z41" i="2"/>
  <c r="Z56" i="2" s="1"/>
  <c r="U46" i="2"/>
  <c r="U80" i="2" s="1"/>
  <c r="AD52" i="2" l="1"/>
  <c r="AC52" i="2"/>
  <c r="AD39" i="2"/>
  <c r="AD53" i="2" s="1"/>
  <c r="AC53" i="2"/>
  <c r="AC40" i="2"/>
  <c r="AB92" i="2"/>
  <c r="AB83" i="2"/>
  <c r="AB91" i="2"/>
  <c r="M44" i="2"/>
  <c r="M45" i="2" s="1"/>
  <c r="AC36" i="2"/>
  <c r="AC37" i="2" s="1"/>
  <c r="AC50" i="2"/>
  <c r="AC96" i="2" s="1"/>
  <c r="AD40" i="2" l="1"/>
  <c r="AC91" i="2"/>
  <c r="AC83" i="2"/>
  <c r="AC92" i="2"/>
  <c r="M46" i="2"/>
  <c r="M58" i="2" s="1"/>
  <c r="AD50" i="2"/>
  <c r="AD96" i="2" s="1"/>
  <c r="AD36" i="2"/>
  <c r="AD37" i="2" s="1"/>
  <c r="AC41" i="2"/>
  <c r="AB41" i="2"/>
  <c r="AB56" i="2" s="1"/>
  <c r="AA41" i="2"/>
  <c r="AA56" i="2" s="1"/>
  <c r="AD92" i="2" l="1"/>
  <c r="AD83" i="2"/>
  <c r="AD91" i="2"/>
  <c r="AD41" i="2"/>
  <c r="AD56" i="2" s="1"/>
  <c r="M48" i="2"/>
  <c r="AC56" i="2"/>
  <c r="N42" i="2" l="1"/>
  <c r="N44" i="2" l="1"/>
  <c r="N45" i="2" s="1"/>
  <c r="Z42" i="2"/>
  <c r="Z44" i="2" l="1"/>
  <c r="N46" i="2"/>
  <c r="N58" i="2" s="1"/>
  <c r="Z58" i="2" s="1"/>
  <c r="Z45" i="2"/>
  <c r="N48" i="2" l="1"/>
  <c r="Z46" i="2"/>
  <c r="AA42" i="2"/>
  <c r="AA44" i="2" s="1"/>
  <c r="AA45" i="2" s="1"/>
  <c r="AA58" i="2" l="1"/>
  <c r="AB42" i="2" s="1"/>
  <c r="AB44" i="2" s="1"/>
  <c r="AB45" i="2" s="1"/>
  <c r="AA46" i="2"/>
  <c r="Z48" i="2"/>
  <c r="Z80" i="2"/>
  <c r="Z94" i="2" s="1"/>
  <c r="Z109" i="2" s="1"/>
  <c r="AB58" i="2" l="1"/>
  <c r="AC42" i="2" s="1"/>
  <c r="AC44" i="2" s="1"/>
  <c r="AC45" i="2" s="1"/>
  <c r="AA80" i="2"/>
  <c r="AA94" i="2" s="1"/>
  <c r="AA109" i="2" s="1"/>
  <c r="AA48" i="2"/>
  <c r="AB46" i="2"/>
  <c r="AC58" i="2" l="1"/>
  <c r="AB48" i="2"/>
  <c r="AB80" i="2"/>
  <c r="AB94" i="2" s="1"/>
  <c r="AB109" i="2" s="1"/>
  <c r="AD42" i="2"/>
  <c r="AD44" i="2" s="1"/>
  <c r="AD45" i="2" s="1"/>
  <c r="AC46" i="2"/>
  <c r="AD58" i="2" l="1"/>
  <c r="AD46" i="2"/>
  <c r="AC80" i="2"/>
  <c r="AC94" i="2" s="1"/>
  <c r="AC109" i="2" s="1"/>
  <c r="AC48" i="2"/>
  <c r="AE46" i="2" l="1"/>
  <c r="AF46" i="2" s="1"/>
  <c r="AG46" i="2" s="1"/>
  <c r="AH46" i="2" s="1"/>
  <c r="AI46" i="2" s="1"/>
  <c r="AJ46" i="2" s="1"/>
  <c r="AD80" i="2"/>
  <c r="AD94" i="2" s="1"/>
  <c r="AD109" i="2" s="1"/>
  <c r="AE109" i="2" s="1"/>
  <c r="AF109" i="2" s="1"/>
  <c r="AG109" i="2" s="1"/>
  <c r="AH109" i="2" s="1"/>
  <c r="AI109" i="2" s="1"/>
  <c r="AJ109" i="2" s="1"/>
  <c r="AD48" i="2"/>
  <c r="AK109" i="2" l="1"/>
  <c r="AL109" i="2" s="1"/>
  <c r="AM109" i="2" s="1"/>
  <c r="AN109" i="2" s="1"/>
  <c r="AO109" i="2" s="1"/>
  <c r="AP109" i="2" s="1"/>
  <c r="AQ109" i="2" s="1"/>
  <c r="AR109" i="2" s="1"/>
  <c r="AS109" i="2" s="1"/>
  <c r="AT109" i="2" s="1"/>
  <c r="AU109" i="2" s="1"/>
  <c r="AV109" i="2" s="1"/>
  <c r="AW109" i="2" s="1"/>
  <c r="AX109" i="2" s="1"/>
  <c r="AY109" i="2" s="1"/>
  <c r="AZ109" i="2" s="1"/>
  <c r="BA109" i="2" s="1"/>
  <c r="BB109" i="2" s="1"/>
  <c r="BC109" i="2" s="1"/>
  <c r="BD109" i="2" s="1"/>
  <c r="BE109" i="2" s="1"/>
  <c r="BF109" i="2" s="1"/>
  <c r="BG109" i="2" s="1"/>
  <c r="BH109" i="2" s="1"/>
  <c r="BI109" i="2" s="1"/>
  <c r="BJ109" i="2" s="1"/>
  <c r="BK109" i="2" s="1"/>
  <c r="BL109" i="2" s="1"/>
  <c r="BM109" i="2" s="1"/>
  <c r="BN109" i="2" s="1"/>
  <c r="BO109" i="2" s="1"/>
  <c r="BP109" i="2" s="1"/>
  <c r="BQ109" i="2" s="1"/>
  <c r="BR109" i="2" s="1"/>
  <c r="BS109" i="2" s="1"/>
  <c r="BT109" i="2" s="1"/>
  <c r="BU109" i="2" s="1"/>
  <c r="BV109" i="2" s="1"/>
  <c r="BW109" i="2" s="1"/>
  <c r="BX109" i="2" s="1"/>
  <c r="BY109" i="2" s="1"/>
  <c r="BZ109" i="2" s="1"/>
  <c r="CA109" i="2" s="1"/>
  <c r="CB109" i="2" s="1"/>
  <c r="CC109" i="2" s="1"/>
  <c r="CD109" i="2" s="1"/>
  <c r="CE109" i="2" s="1"/>
  <c r="CF109" i="2" s="1"/>
  <c r="CG109" i="2" s="1"/>
  <c r="CH109" i="2" s="1"/>
  <c r="CI109" i="2" s="1"/>
  <c r="CJ109" i="2" s="1"/>
  <c r="CK109" i="2" s="1"/>
  <c r="CL109" i="2" s="1"/>
  <c r="CM109" i="2" s="1"/>
  <c r="CN109" i="2" s="1"/>
  <c r="CO109" i="2" s="1"/>
  <c r="CP109" i="2" s="1"/>
  <c r="CQ109" i="2" s="1"/>
  <c r="CR109" i="2" s="1"/>
  <c r="CS109" i="2" s="1"/>
  <c r="CT109" i="2" s="1"/>
  <c r="CU109" i="2" s="1"/>
  <c r="CV109" i="2" s="1"/>
  <c r="CW109" i="2" s="1"/>
  <c r="CX109" i="2" s="1"/>
  <c r="CY109" i="2" s="1"/>
  <c r="CZ109" i="2" s="1"/>
  <c r="DA109" i="2" s="1"/>
  <c r="DB109" i="2" s="1"/>
  <c r="DC109" i="2" s="1"/>
  <c r="DD109" i="2" s="1"/>
  <c r="DE109" i="2" s="1"/>
  <c r="DF109" i="2" s="1"/>
  <c r="DG109" i="2" s="1"/>
  <c r="DH109" i="2" s="1"/>
  <c r="DI109" i="2" s="1"/>
  <c r="DJ109" i="2" s="1"/>
  <c r="DK109" i="2" s="1"/>
  <c r="DL109" i="2" s="1"/>
  <c r="DM109" i="2" s="1"/>
  <c r="DN109" i="2" s="1"/>
  <c r="DO109" i="2" s="1"/>
  <c r="DP109" i="2" s="1"/>
  <c r="DQ109" i="2" s="1"/>
  <c r="DR109" i="2" s="1"/>
  <c r="DS109" i="2" s="1"/>
  <c r="DT109" i="2" s="1"/>
  <c r="DU109" i="2" s="1"/>
  <c r="DV109" i="2" s="1"/>
  <c r="DW109" i="2" s="1"/>
  <c r="DX109" i="2" s="1"/>
  <c r="DY109" i="2" s="1"/>
  <c r="DZ109" i="2" s="1"/>
  <c r="EA109" i="2" s="1"/>
  <c r="EB109" i="2" s="1"/>
  <c r="EC109" i="2" s="1"/>
  <c r="AG52" i="2" l="1"/>
  <c r="AG53" i="2" s="1"/>
  <c r="AK46" i="2"/>
  <c r="AL46" i="2" s="1"/>
  <c r="AM46" i="2" s="1"/>
  <c r="AN46" i="2" s="1"/>
  <c r="AO46" i="2" s="1"/>
  <c r="AP46" i="2" s="1"/>
  <c r="AQ46" i="2" s="1"/>
  <c r="AR46" i="2" s="1"/>
  <c r="AS46" i="2" s="1"/>
  <c r="AT46" i="2" s="1"/>
  <c r="AU46" i="2" s="1"/>
  <c r="AV46" i="2" s="1"/>
  <c r="AW46" i="2" s="1"/>
  <c r="AX46" i="2" s="1"/>
  <c r="AY46" i="2" s="1"/>
  <c r="AZ46" i="2" s="1"/>
  <c r="BA46" i="2" s="1"/>
  <c r="BB46" i="2" s="1"/>
  <c r="BC46" i="2" s="1"/>
  <c r="BD46" i="2" s="1"/>
  <c r="BE46" i="2" s="1"/>
  <c r="BF46" i="2" s="1"/>
  <c r="BG46" i="2" s="1"/>
  <c r="BH46" i="2" s="1"/>
  <c r="BI46" i="2" s="1"/>
  <c r="BJ46" i="2" s="1"/>
  <c r="BK46" i="2" s="1"/>
  <c r="BL46" i="2" s="1"/>
  <c r="BM46" i="2" s="1"/>
  <c r="BN46" i="2" s="1"/>
  <c r="BO46" i="2" s="1"/>
  <c r="BP46" i="2" s="1"/>
  <c r="BQ46" i="2" s="1"/>
  <c r="BR46" i="2" s="1"/>
  <c r="BS46" i="2" s="1"/>
  <c r="BT46" i="2" s="1"/>
  <c r="BU46" i="2" s="1"/>
  <c r="BV46" i="2" s="1"/>
  <c r="BW46" i="2" s="1"/>
  <c r="BX46" i="2" s="1"/>
  <c r="BY46" i="2" s="1"/>
  <c r="BZ46" i="2" s="1"/>
  <c r="CA46" i="2" s="1"/>
  <c r="CB46" i="2" s="1"/>
  <c r="CC46" i="2" s="1"/>
  <c r="CD46" i="2" s="1"/>
  <c r="CE46" i="2" s="1"/>
  <c r="CF46" i="2" s="1"/>
  <c r="CG46" i="2" s="1"/>
  <c r="CH46" i="2" s="1"/>
  <c r="CI46" i="2" s="1"/>
  <c r="CJ46" i="2" s="1"/>
  <c r="CK46" i="2" s="1"/>
  <c r="CL46" i="2" s="1"/>
  <c r="CM46" i="2" s="1"/>
  <c r="CN46" i="2" s="1"/>
  <c r="CO46" i="2" s="1"/>
  <c r="CP46" i="2" s="1"/>
  <c r="CQ46" i="2" s="1"/>
  <c r="CR46" i="2" s="1"/>
  <c r="CS46" i="2" s="1"/>
  <c r="CT46" i="2" s="1"/>
  <c r="CU46" i="2" s="1"/>
  <c r="CV46" i="2" s="1"/>
  <c r="CW46" i="2" s="1"/>
  <c r="CX46" i="2" s="1"/>
  <c r="CY46" i="2" s="1"/>
  <c r="CZ46" i="2" s="1"/>
  <c r="DA46" i="2" s="1"/>
  <c r="DB46" i="2" s="1"/>
  <c r="DC46" i="2" s="1"/>
  <c r="DD46" i="2" s="1"/>
  <c r="DE46" i="2" s="1"/>
  <c r="DF46" i="2" s="1"/>
  <c r="DG46" i="2" s="1"/>
  <c r="DH46" i="2" s="1"/>
  <c r="DI46" i="2" s="1"/>
  <c r="DJ46" i="2" s="1"/>
  <c r="DK46" i="2" s="1"/>
  <c r="DL46" i="2" s="1"/>
  <c r="DM46" i="2" s="1"/>
  <c r="DN46" i="2" s="1"/>
  <c r="DO46" i="2" s="1"/>
  <c r="DP46" i="2" s="1"/>
  <c r="DQ46" i="2" s="1"/>
  <c r="DR46" i="2" s="1"/>
  <c r="DS46" i="2" s="1"/>
  <c r="DT46" i="2" s="1"/>
  <c r="DU46" i="2" s="1"/>
  <c r="DV46" i="2" s="1"/>
  <c r="DW46" i="2" s="1"/>
  <c r="DX46" i="2" s="1"/>
  <c r="DY46" i="2" s="1"/>
  <c r="DZ46" i="2" s="1"/>
  <c r="EA46" i="2" s="1"/>
  <c r="EB46" i="2" s="1"/>
  <c r="EC46" i="2" s="1"/>
  <c r="ED46" i="2" s="1"/>
  <c r="EE46" i="2" s="1"/>
  <c r="EF46" i="2" s="1"/>
  <c r="EG46" i="2" s="1"/>
  <c r="EH46" i="2" s="1"/>
  <c r="EI46" i="2" s="1"/>
  <c r="EJ46" i="2" s="1"/>
  <c r="EK46" i="2" s="1"/>
  <c r="EL46" i="2" s="1"/>
  <c r="EM46" i="2" s="1"/>
  <c r="EN46" i="2" s="1"/>
  <c r="EO46" i="2" s="1"/>
  <c r="EP46" i="2" s="1"/>
  <c r="EQ46" i="2" s="1"/>
  <c r="ER46" i="2" s="1"/>
  <c r="ES46" i="2" s="1"/>
  <c r="ET46" i="2" s="1"/>
  <c r="EU4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tc={DD4E24A9-6F32-4F71-BF86-FE8D8BB208FC}</author>
    <author>tc={8D6A7BA6-00D4-411D-8C05-C13D231C4EFA}</author>
    <author>tc={C36B590C-4CAD-4746-90B3-03B2021337AB}</author>
    <author>tc={7E11744B-D5AB-4208-9165-DA43F82432E9}</author>
    <author>tc={6E6AA0E4-A083-46CE-8C20-0F4728641208}</author>
    <author>tc={97242C66-D6D4-4AA4-B5B1-A8D9F56E36B0}</author>
    <author>tc={7D3D3D17-15FE-4C11-8E03-8EE4BB1CADE6}</author>
  </authors>
  <commentList>
    <comment ref="Z3" authorId="0" shapeId="0" xr:uid="{DD4E24A9-6F32-4F71-BF86-FE8D8BB208F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buying chips from nvda?</t>
      </text>
    </comment>
    <comment ref="K26" authorId="1" shapeId="0" xr:uid="{8D6A7BA6-00D4-411D-8C05-C13D231C4EFA}">
      <text>
        <t>[Threaded comment]
Your version of Excel allows you to read this threaded comment; however, any edits to it will get removed if the file is opened in a newer version of Excel. Learn more: https://go.microsoft.com/fwlink/?linkid=870924
Comment:
    Would be 7b</t>
      </text>
    </comment>
    <comment ref="L26" authorId="2" shapeId="0" xr:uid="{C36B590C-4CAD-4746-90B3-03B2021337AB}">
      <text>
        <t>[Threaded comment]
Your version of Excel allows you to read this threaded comment; however, any edits to it will get removed if the file is opened in a newer version of Excel. Learn more: https://go.microsoft.com/fwlink/?linkid=870924
Comment:
    Would be 8b</t>
      </text>
    </comment>
    <comment ref="K34" authorId="3" shapeId="0" xr:uid="{7E11744B-D5AB-4208-9165-DA43F82432E9}">
      <text>
        <t>[Threaded comment]
Your version of Excel allows you to read this threaded comment; however, any edits to it will get removed if the file is opened in a newer version of Excel. Learn more: https://go.microsoft.com/fwlink/?linkid=870924
Comment:
    Blackwell 70% of rev</t>
      </text>
    </comment>
    <comment ref="L35" authorId="4" shapeId="0" xr:uid="{6E6AA0E4-A083-46CE-8C20-0F4728641208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
Reply:
    “loss of 8billion of H20 revenue due to export control limitations”
Reply:
    “unable to ship additional 2.5b of H20 in 1st quarter”
Reply:
    Should’ve been 53,000? In Q2</t>
      </text>
    </comment>
    <comment ref="L40" authorId="5" shapeId="0" xr:uid="{97242C66-D6D4-4AA4-B5B1-A8D9F56E36B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5.7b guidance
</t>
      </text>
    </comment>
    <comment ref="L45" authorId="6" shapeId="0" xr:uid="{7D3D3D17-15FE-4C11-8E03-8EE4BB1CADE6}">
      <text>
        <t>[Threaded comment]
Your version of Excel allows you to read this threaded comment; however, any edits to it will get removed if the file is opened in a newer version of Excel. Learn more: https://go.microsoft.com/fwlink/?linkid=870924
Comment:
    16.5% guidance</t>
      </text>
    </comment>
  </commentList>
</comments>
</file>

<file path=xl/sharedStrings.xml><?xml version="1.0" encoding="utf-8"?>
<sst xmlns="http://schemas.openxmlformats.org/spreadsheetml/2006/main" count="185" uniqueCount="170">
  <si>
    <t>Price</t>
  </si>
  <si>
    <t>Shares</t>
  </si>
  <si>
    <t>MC</t>
  </si>
  <si>
    <t>Cash</t>
  </si>
  <si>
    <t>Debt</t>
  </si>
  <si>
    <t>EV</t>
  </si>
  <si>
    <t>Revenue</t>
  </si>
  <si>
    <t>COGS</t>
  </si>
  <si>
    <t>Gross Profit</t>
  </si>
  <si>
    <t>R&amp;D</t>
  </si>
  <si>
    <t>SG&amp;A</t>
  </si>
  <si>
    <t>Operating Income</t>
  </si>
  <si>
    <t>Other</t>
  </si>
  <si>
    <t>Pretax Income</t>
  </si>
  <si>
    <t>Tax</t>
  </si>
  <si>
    <t>Net Income</t>
  </si>
  <si>
    <t>EPS</t>
  </si>
  <si>
    <t>Revenue Growth y/y</t>
  </si>
  <si>
    <t>Revenue Growth q/q</t>
  </si>
  <si>
    <t>Gross Margin</t>
  </si>
  <si>
    <t>Q125</t>
  </si>
  <si>
    <t>Net Cash</t>
  </si>
  <si>
    <t>AR</t>
  </si>
  <si>
    <t>AP</t>
  </si>
  <si>
    <t>NPV</t>
  </si>
  <si>
    <t>Maturity</t>
  </si>
  <si>
    <t>ROIC</t>
  </si>
  <si>
    <t>Discount</t>
  </si>
  <si>
    <t>Model NI</t>
  </si>
  <si>
    <t>Reported NI</t>
  </si>
  <si>
    <t>Q425</t>
  </si>
  <si>
    <t>Q225</t>
  </si>
  <si>
    <t>Q325</t>
  </si>
  <si>
    <t>Operating Margin</t>
  </si>
  <si>
    <t>Main</t>
  </si>
  <si>
    <t>Hopper</t>
  </si>
  <si>
    <t>Blackwell 2025</t>
  </si>
  <si>
    <t>Rubin 2026</t>
  </si>
  <si>
    <t>Rubin Ultra 2027</t>
  </si>
  <si>
    <t>60% improvement on hopper</t>
  </si>
  <si>
    <t>Data Center Rev</t>
  </si>
  <si>
    <t>CFFO</t>
  </si>
  <si>
    <t>FCF</t>
  </si>
  <si>
    <t>Blackwell Ultra</t>
  </si>
  <si>
    <t>HUMAIN partnership</t>
  </si>
  <si>
    <t>Foxconn Taiwan AI factory supercomputer</t>
  </si>
  <si>
    <t>NVLink Fusion</t>
  </si>
  <si>
    <t>NVIDIA Spectrum-X * NVIDIA Quantum-X</t>
  </si>
  <si>
    <t>DGX SuperPOD</t>
  </si>
  <si>
    <t>Google joint-initiative</t>
  </si>
  <si>
    <t>NVIDIA inference software integration w/ Oracle</t>
  </si>
  <si>
    <t>NVIDIA Blackwell cloud now available on AWS, Google Cloud, Azure, Oracle Cloud</t>
  </si>
  <si>
    <t>DGX Cloud Lepton</t>
  </si>
  <si>
    <t>Llama Nemotron</t>
  </si>
  <si>
    <t>NVIDIA AI Data Platform</t>
  </si>
  <si>
    <t>Gaming Rev</t>
  </si>
  <si>
    <t>Professional Visualization</t>
  </si>
  <si>
    <t>Automotive &amp; Robotics</t>
  </si>
  <si>
    <t>Inventories</t>
  </si>
  <si>
    <t>OLL</t>
  </si>
  <si>
    <t>OLTL</t>
  </si>
  <si>
    <t>L+SE</t>
  </si>
  <si>
    <t>SE</t>
  </si>
  <si>
    <t>Assets</t>
  </si>
  <si>
    <t>Stargate UAE 500B project</t>
  </si>
  <si>
    <t>SBC</t>
  </si>
  <si>
    <t>D&amp;A</t>
  </si>
  <si>
    <t>DT</t>
  </si>
  <si>
    <t>Gains on Securities</t>
  </si>
  <si>
    <t>Prepaids</t>
  </si>
  <si>
    <t>Accrued Liabilties</t>
  </si>
  <si>
    <t>PP&amp;E</t>
  </si>
  <si>
    <t>Is the NVDA ecosystem driving the value? (CUDA, etc.)</t>
  </si>
  <si>
    <t>How copyable is their ecosystem?</t>
  </si>
  <si>
    <t>Will AI be executed in the near-term to justify big-tech CAPEX?</t>
  </si>
  <si>
    <t>Can the entire economy find AI producitvity uses or are they more long term?</t>
  </si>
  <si>
    <t>Read</t>
  </si>
  <si>
    <t>Relevance</t>
  </si>
  <si>
    <t>Topic</t>
  </si>
  <si>
    <t>Title</t>
  </si>
  <si>
    <t>Operating Expenses</t>
  </si>
  <si>
    <t>R&amp;D y/y</t>
  </si>
  <si>
    <t>SG&amp;A y/y</t>
  </si>
  <si>
    <t>Q126</t>
  </si>
  <si>
    <t>Q226</t>
  </si>
  <si>
    <t>Q326</t>
  </si>
  <si>
    <t>Q426</t>
  </si>
  <si>
    <t>Q127</t>
  </si>
  <si>
    <t>Q227</t>
  </si>
  <si>
    <t>Q327</t>
  </si>
  <si>
    <t>Q427</t>
  </si>
  <si>
    <t>Feynman 2028</t>
  </si>
  <si>
    <t>Are AI data centers even going to increase productivity in the short-term? What are the use cases?</t>
  </si>
  <si>
    <t>OLA</t>
  </si>
  <si>
    <t>GW</t>
  </si>
  <si>
    <t>Intangible Assets</t>
  </si>
  <si>
    <t>Other Assets</t>
  </si>
  <si>
    <t>Accured Liablities</t>
  </si>
  <si>
    <t>Liabilities</t>
  </si>
  <si>
    <t>Interest Income</t>
  </si>
  <si>
    <t xml:space="preserve">Other </t>
  </si>
  <si>
    <t>WC</t>
  </si>
  <si>
    <t>CapEx</t>
  </si>
  <si>
    <t>Investments</t>
  </si>
  <si>
    <t>CFFI</t>
  </si>
  <si>
    <t>CFFF</t>
  </si>
  <si>
    <t>FX</t>
  </si>
  <si>
    <t>CIC</t>
  </si>
  <si>
    <t>Acquistions</t>
  </si>
  <si>
    <t>Buybacks</t>
  </si>
  <si>
    <t>Dividends</t>
  </si>
  <si>
    <t>Compensation</t>
  </si>
  <si>
    <t>OEM &amp; Other</t>
  </si>
  <si>
    <t>Q124</t>
  </si>
  <si>
    <t>Q224</t>
  </si>
  <si>
    <t>Q324</t>
  </si>
  <si>
    <t>Q424</t>
  </si>
  <si>
    <t>"we are unable to ship an addition 2.5b in first quarter"</t>
  </si>
  <si>
    <t>NVDA able to ship H20 to china again</t>
  </si>
  <si>
    <t>B30 for china being made; B30 75% faster</t>
  </si>
  <si>
    <t>Q1 H20 shouldve been 7b but couldn’t ship 2.5b Q2 was 8b of orders</t>
  </si>
  <si>
    <t>Q2 w/ H20 guidance would be 53b instead of 45b</t>
  </si>
  <si>
    <t>Short-term looks strong how about long term?</t>
  </si>
  <si>
    <t>Reasoning AI takes a lot more compute means more demand and need for faster GPUs</t>
  </si>
  <si>
    <t>H20/B30 (China)</t>
  </si>
  <si>
    <t>MVLink</t>
  </si>
  <si>
    <t>Blackwell</t>
  </si>
  <si>
    <t>Data Center CapEx</t>
  </si>
  <si>
    <t>AI Data Center</t>
  </si>
  <si>
    <t>Share</t>
  </si>
  <si>
    <t>A/R</t>
  </si>
  <si>
    <t>B100,B200</t>
  </si>
  <si>
    <t>H100</t>
  </si>
  <si>
    <t>How will AI improve efficiency on tasks other than compute? What do they need to do</t>
  </si>
  <si>
    <t>Current AI Tasks</t>
  </si>
  <si>
    <t>Future AI Tasks</t>
  </si>
  <si>
    <t>Robotaxi</t>
  </si>
  <si>
    <t>Image recognition</t>
  </si>
  <si>
    <t>Image generation</t>
  </si>
  <si>
    <t>Low-level code</t>
  </si>
  <si>
    <t>Chatbot</t>
  </si>
  <si>
    <t>Long-horizon tasks</t>
  </si>
  <si>
    <t>Meta CapEx</t>
  </si>
  <si>
    <t>Microsoft CapEx</t>
  </si>
  <si>
    <t>Google CapEx</t>
  </si>
  <si>
    <t>Amazon CapEx</t>
  </si>
  <si>
    <t>Oracle CapEx</t>
  </si>
  <si>
    <t>xAI CapEx</t>
  </si>
  <si>
    <t>Apple CapEx</t>
  </si>
  <si>
    <t>Intel CapEx</t>
  </si>
  <si>
    <t>Tesla CapEx</t>
  </si>
  <si>
    <t>Amazon AI CapEx</t>
  </si>
  <si>
    <t>Google AI CapEx</t>
  </si>
  <si>
    <t>Microsoft AI CapEx</t>
  </si>
  <si>
    <t>Meta AI CapEx</t>
  </si>
  <si>
    <t>Oracle AI CapEx</t>
  </si>
  <si>
    <t>xAI AI CapEx</t>
  </si>
  <si>
    <t>Apple AI CapEx</t>
  </si>
  <si>
    <t>Intel AI CapEx</t>
  </si>
  <si>
    <t>Tesla AI CapEx</t>
  </si>
  <si>
    <t>Not enough electricity to expand AI enough currently without very large energy growth</t>
  </si>
  <si>
    <t>AI Growth Problems</t>
  </si>
  <si>
    <t>Large projects like Stargate struggle to get funding</t>
  </si>
  <si>
    <t>1. big AI infrastructure delaying building/funding</t>
  </si>
  <si>
    <t>2. very limited current AI applications; betting on future-theoreticals</t>
  </si>
  <si>
    <t>3. priced in to supply all AI infrastructure already and for all these projects to get funded</t>
  </si>
  <si>
    <t>problems:</t>
  </si>
  <si>
    <t>4. wavering macro</t>
  </si>
  <si>
    <t>5. long-term margins?</t>
  </si>
  <si>
    <t>6. lots of electricity and grid infrastructure needed to support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</si>
</sst>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ptos Narrow"/>
      <family val="2"/>
      <scheme val="minor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37">
    <xf numFmtId="0" fontId="0" fillId="0" borderId="0" xfId="0"/>
    <xf numFmtId="3" fontId="20" fillId="0" borderId="0" xfId="1" applyNumberFormat="1" applyFont="1"/>
    <xf numFmtId="3" fontId="17" fillId="0" borderId="0" xfId="0" applyNumberFormat="1" applyFont="1"/>
    <xf numFmtId="1" fontId="17" fillId="0" borderId="0" xfId="0" applyNumberFormat="1" applyFont="1"/>
    <xf numFmtId="3" fontId="19" fillId="0" borderId="0" xfId="0" applyNumberFormat="1" applyFont="1"/>
    <xf numFmtId="4" fontId="17" fillId="0" borderId="0" xfId="0" applyNumberFormat="1" applyFont="1"/>
    <xf numFmtId="9" fontId="17" fillId="0" borderId="0" xfId="0" applyNumberFormat="1" applyFont="1"/>
    <xf numFmtId="9" fontId="19" fillId="0" borderId="0" xfId="0" applyNumberFormat="1" applyFont="1"/>
    <xf numFmtId="0" fontId="19" fillId="0" borderId="0" xfId="0" applyFont="1"/>
    <xf numFmtId="0" fontId="17" fillId="0" borderId="0" xfId="0" applyFont="1"/>
    <xf numFmtId="0" fontId="16" fillId="0" borderId="0" xfId="0" applyFont="1"/>
    <xf numFmtId="0" fontId="21" fillId="0" borderId="0" xfId="0" applyFont="1"/>
    <xf numFmtId="3" fontId="22" fillId="0" borderId="0" xfId="1" applyNumberFormat="1" applyFont="1"/>
    <xf numFmtId="0" fontId="15" fillId="0" borderId="0" xfId="0" applyFont="1"/>
    <xf numFmtId="0" fontId="22" fillId="0" borderId="0" xfId="1" applyFont="1"/>
    <xf numFmtId="1" fontId="15" fillId="0" borderId="0" xfId="0" applyNumberFormat="1" applyFont="1"/>
    <xf numFmtId="3" fontId="14" fillId="0" borderId="0" xfId="0" applyNumberFormat="1" applyFont="1"/>
    <xf numFmtId="3" fontId="13" fillId="0" borderId="0" xfId="0" applyNumberFormat="1" applyFont="1"/>
    <xf numFmtId="3" fontId="12" fillId="0" borderId="0" xfId="0" applyNumberFormat="1" applyFont="1"/>
    <xf numFmtId="14" fontId="17" fillId="0" borderId="0" xfId="0" applyNumberFormat="1" applyFont="1"/>
    <xf numFmtId="0" fontId="12" fillId="0" borderId="0" xfId="0" applyFont="1"/>
    <xf numFmtId="164" fontId="17" fillId="0" borderId="0" xfId="0" applyNumberFormat="1" applyFont="1"/>
    <xf numFmtId="0" fontId="11" fillId="0" borderId="0" xfId="0" applyFont="1"/>
    <xf numFmtId="3" fontId="10" fillId="0" borderId="0" xfId="0" applyNumberFormat="1" applyFont="1"/>
    <xf numFmtId="9" fontId="12" fillId="0" borderId="0" xfId="0" applyNumberFormat="1" applyFont="1"/>
    <xf numFmtId="4" fontId="12" fillId="0" borderId="0" xfId="0" applyNumberFormat="1" applyFont="1"/>
    <xf numFmtId="0" fontId="10" fillId="0" borderId="0" xfId="0" applyFont="1"/>
    <xf numFmtId="3" fontId="9" fillId="0" borderId="0" xfId="0" applyNumberFormat="1" applyFont="1"/>
    <xf numFmtId="3" fontId="8" fillId="0" borderId="0" xfId="0" applyNumberFormat="1" applyFont="1"/>
    <xf numFmtId="0" fontId="7" fillId="0" borderId="0" xfId="0" applyFont="1"/>
    <xf numFmtId="3" fontId="6" fillId="0" borderId="0" xfId="0" applyNumberFormat="1" applyFont="1"/>
    <xf numFmtId="1" fontId="5" fillId="0" borderId="0" xfId="0" applyNumberFormat="1" applyFont="1"/>
    <xf numFmtId="3" fontId="5" fillId="0" borderId="0" xfId="0" applyNumberFormat="1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1</xdr:row>
      <xdr:rowOff>9525</xdr:rowOff>
    </xdr:from>
    <xdr:to>
      <xdr:col>11</xdr:col>
      <xdr:colOff>28575</xdr:colOff>
      <xdr:row>120</xdr:row>
      <xdr:rowOff>161925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378CE67-E160-B97F-9ED5-8075185E0983}"/>
            </a:ext>
          </a:extLst>
        </xdr:cNvPr>
        <xdr:cNvCxnSpPr/>
      </xdr:nvCxnSpPr>
      <xdr:spPr>
        <a:xfrm>
          <a:off x="5049078" y="175177"/>
          <a:ext cx="40171" cy="1244379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7327</xdr:colOff>
      <xdr:row>1</xdr:row>
      <xdr:rowOff>0</xdr:rowOff>
    </xdr:from>
    <xdr:to>
      <xdr:col>25</xdr:col>
      <xdr:colOff>45427</xdr:colOff>
      <xdr:row>120</xdr:row>
      <xdr:rowOff>85725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5C79990-BAC3-448E-9B59-F20A57DBC028}"/>
            </a:ext>
          </a:extLst>
        </xdr:cNvPr>
        <xdr:cNvCxnSpPr/>
      </xdr:nvCxnSpPr>
      <xdr:spPr>
        <a:xfrm>
          <a:off x="16002000" y="161192"/>
          <a:ext cx="38100" cy="1607307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32</xdr:row>
      <xdr:rowOff>9525</xdr:rowOff>
    </xdr:from>
    <xdr:to>
      <xdr:col>13</xdr:col>
      <xdr:colOff>580605</xdr:colOff>
      <xdr:row>57</xdr:row>
      <xdr:rowOff>56986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FE40E9-2D00-B681-A338-5FECA8C97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5191125"/>
          <a:ext cx="7505280" cy="409558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7BA57726-1A28-4F09-A828-A7B9F4B7C04C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3" dT="2025-08-18T05:10:09.70" personId="{7BA57726-1A28-4F09-A828-A7B9F4B7C04C}" id="{DD4E24A9-6F32-4F71-BF86-FE8D8BB208FC}">
    <text>Not buying chips from nvda?</text>
  </threadedComment>
  <threadedComment ref="K26" dT="2025-08-14T03:34:33.72" personId="{7BA57726-1A28-4F09-A828-A7B9F4B7C04C}" id="{8D6A7BA6-00D4-411D-8C05-C13D231C4EFA}">
    <text>Would be 7b</text>
  </threadedComment>
  <threadedComment ref="L26" dT="2025-08-14T03:34:12.08" personId="{7BA57726-1A28-4F09-A828-A7B9F4B7C04C}" id="{C36B590C-4CAD-4746-90B3-03B2021337AB}">
    <text>Would be 8b</text>
  </threadedComment>
  <threadedComment ref="K34" dT="2025-05-29T00:24:41.76" personId="{7BA57726-1A28-4F09-A828-A7B9F4B7C04C}" id="{7E11744B-D5AB-4208-9165-DA43F82432E9}">
    <text>Blackwell 70% of rev</text>
  </threadedComment>
  <threadedComment ref="L35" dT="2025-08-13T22:16:33.97" personId="{7BA57726-1A28-4F09-A828-A7B9F4B7C04C}" id="{6E6AA0E4-A083-46CE-8C20-0F4728641208}">
    <text>guidance</text>
  </threadedComment>
  <threadedComment ref="L35" dT="2025-08-13T22:17:33.69" personId="{7BA57726-1A28-4F09-A828-A7B9F4B7C04C}" id="{9A7D1AC4-5A2E-47F8-8095-832DFF94DF4C}" parentId="{6E6AA0E4-A083-46CE-8C20-0F4728641208}">
    <text>“loss of 8billion of H20 revenue due to export control limitations”</text>
  </threadedComment>
  <threadedComment ref="L35" dT="2025-08-13T23:18:21.10" personId="{7BA57726-1A28-4F09-A828-A7B9F4B7C04C}" id="{3E256FB4-0A13-4522-821A-61998678582D}" parentId="{6E6AA0E4-A083-46CE-8C20-0F4728641208}">
    <text>“unable to ship additional 2.5b of H20 in 1st quarter”</text>
  </threadedComment>
  <threadedComment ref="L35" dT="2025-08-13T23:31:22.58" personId="{7BA57726-1A28-4F09-A828-A7B9F4B7C04C}" id="{4723254A-03CE-4A8D-BB09-B472DE5622D9}" parentId="{6E6AA0E4-A083-46CE-8C20-0F4728641208}">
    <text>Should’ve been 53,000? In Q2</text>
  </threadedComment>
  <threadedComment ref="L40" dT="2025-08-13T22:37:48.23" personId="{7BA57726-1A28-4F09-A828-A7B9F4B7C04C}" id="{97242C66-D6D4-4AA4-B5B1-A8D9F56E36B0}">
    <text xml:space="preserve">5.7b guidance
</text>
  </threadedComment>
  <threadedComment ref="L45" dT="2025-08-13T22:38:23.30" personId="{7BA57726-1A28-4F09-A828-A7B9F4B7C04C}" id="{7D3D3D17-15FE-4C11-8E03-8EE4BB1CADE6}">
    <text>16.5% guidance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5FA77-31DD-4330-BECC-4D64D4EAFB80}">
  <dimension ref="A1:M37"/>
  <sheetViews>
    <sheetView tabSelected="1" zoomScaleNormal="100" workbookViewId="0">
      <selection activeCell="A38" sqref="A38"/>
    </sheetView>
  </sheetViews>
  <sheetFormatPr defaultRowHeight="12.75" x14ac:dyDescent="0.2"/>
  <cols>
    <col min="1" max="2" width="9.140625" style="9"/>
    <col min="3" max="3" width="10.140625" style="9" bestFit="1" customWidth="1"/>
    <col min="4" max="4" width="10.42578125" style="9" customWidth="1"/>
    <col min="5" max="5" width="9.85546875" style="9" customWidth="1"/>
    <col min="6" max="8" width="9.140625" style="9"/>
    <col min="9" max="9" width="9.7109375" style="9" customWidth="1"/>
    <col min="10" max="14" width="9.140625" style="9"/>
    <col min="15" max="15" width="10.42578125" style="9" customWidth="1"/>
    <col min="16" max="16384" width="9.140625" style="9"/>
  </cols>
  <sheetData>
    <row r="1" spans="1:12" x14ac:dyDescent="0.2">
      <c r="A1" s="8"/>
    </row>
    <row r="2" spans="1:12" x14ac:dyDescent="0.2">
      <c r="J2" s="9" t="s">
        <v>0</v>
      </c>
      <c r="K2" s="5">
        <v>183</v>
      </c>
    </row>
    <row r="3" spans="1:12" x14ac:dyDescent="0.2">
      <c r="J3" s="9" t="s">
        <v>1</v>
      </c>
      <c r="K3" s="2">
        <v>24400</v>
      </c>
      <c r="L3" s="20" t="s">
        <v>83</v>
      </c>
    </row>
    <row r="4" spans="1:12" x14ac:dyDescent="0.2">
      <c r="J4" s="9" t="s">
        <v>2</v>
      </c>
      <c r="K4" s="2">
        <f>K3*K2</f>
        <v>4465200</v>
      </c>
    </row>
    <row r="5" spans="1:12" x14ac:dyDescent="0.2">
      <c r="A5" s="9" t="s">
        <v>35</v>
      </c>
      <c r="B5" s="9">
        <v>2022</v>
      </c>
      <c r="C5" s="29" t="s">
        <v>132</v>
      </c>
      <c r="J5" s="9" t="s">
        <v>3</v>
      </c>
      <c r="K5" s="2">
        <f>53691</f>
        <v>53691</v>
      </c>
      <c r="L5" s="20" t="s">
        <v>83</v>
      </c>
    </row>
    <row r="6" spans="1:12" x14ac:dyDescent="0.2">
      <c r="A6" s="9" t="s">
        <v>36</v>
      </c>
      <c r="C6" s="29" t="s">
        <v>131</v>
      </c>
      <c r="D6" s="9" t="s">
        <v>39</v>
      </c>
      <c r="J6" s="9" t="s">
        <v>4</v>
      </c>
      <c r="K6" s="2">
        <f>8464</f>
        <v>8464</v>
      </c>
      <c r="L6" s="20" t="s">
        <v>83</v>
      </c>
    </row>
    <row r="7" spans="1:12" x14ac:dyDescent="0.2">
      <c r="A7" s="9" t="s">
        <v>43</v>
      </c>
      <c r="J7" s="9" t="s">
        <v>5</v>
      </c>
      <c r="K7" s="2">
        <f>K4+K6-K5</f>
        <v>4419973</v>
      </c>
    </row>
    <row r="8" spans="1:12" x14ac:dyDescent="0.2">
      <c r="A8" s="9" t="s">
        <v>37</v>
      </c>
    </row>
    <row r="9" spans="1:12" x14ac:dyDescent="0.2">
      <c r="A9" s="9" t="s">
        <v>38</v>
      </c>
      <c r="K9" s="11"/>
    </row>
    <row r="10" spans="1:12" x14ac:dyDescent="0.2">
      <c r="A10" s="20" t="s">
        <v>91</v>
      </c>
      <c r="H10" s="10" t="s">
        <v>72</v>
      </c>
    </row>
    <row r="11" spans="1:12" x14ac:dyDescent="0.2">
      <c r="H11" s="10" t="s">
        <v>73</v>
      </c>
    </row>
    <row r="12" spans="1:12" x14ac:dyDescent="0.2">
      <c r="H12" s="10" t="s">
        <v>74</v>
      </c>
    </row>
    <row r="13" spans="1:12" x14ac:dyDescent="0.2">
      <c r="A13" s="9" t="s">
        <v>64</v>
      </c>
      <c r="H13" s="10" t="s">
        <v>75</v>
      </c>
    </row>
    <row r="14" spans="1:12" x14ac:dyDescent="0.2">
      <c r="A14" s="9" t="s">
        <v>44</v>
      </c>
      <c r="H14" s="22" t="s">
        <v>92</v>
      </c>
    </row>
    <row r="15" spans="1:12" x14ac:dyDescent="0.2">
      <c r="A15" s="9" t="s">
        <v>45</v>
      </c>
      <c r="H15" s="26" t="s">
        <v>122</v>
      </c>
    </row>
    <row r="16" spans="1:12" x14ac:dyDescent="0.2">
      <c r="A16" s="9" t="s">
        <v>46</v>
      </c>
    </row>
    <row r="17" spans="1:13" x14ac:dyDescent="0.2">
      <c r="A17" s="9" t="s">
        <v>47</v>
      </c>
    </row>
    <row r="18" spans="1:13" x14ac:dyDescent="0.2">
      <c r="A18" s="9" t="s">
        <v>48</v>
      </c>
    </row>
    <row r="19" spans="1:13" x14ac:dyDescent="0.2">
      <c r="A19" s="9" t="s">
        <v>49</v>
      </c>
    </row>
    <row r="20" spans="1:13" x14ac:dyDescent="0.2">
      <c r="A20" s="9" t="s">
        <v>50</v>
      </c>
      <c r="I20" s="26" t="s">
        <v>83</v>
      </c>
    </row>
    <row r="21" spans="1:13" x14ac:dyDescent="0.2">
      <c r="A21" s="9" t="s">
        <v>51</v>
      </c>
      <c r="I21" s="26" t="s">
        <v>117</v>
      </c>
    </row>
    <row r="22" spans="1:13" x14ac:dyDescent="0.2">
      <c r="A22" s="9" t="s">
        <v>52</v>
      </c>
      <c r="I22" s="26" t="s">
        <v>118</v>
      </c>
    </row>
    <row r="23" spans="1:13" x14ac:dyDescent="0.2">
      <c r="A23" s="9" t="s">
        <v>53</v>
      </c>
      <c r="I23" s="26" t="s">
        <v>119</v>
      </c>
    </row>
    <row r="24" spans="1:13" x14ac:dyDescent="0.2">
      <c r="A24" s="9" t="s">
        <v>54</v>
      </c>
      <c r="I24" s="26" t="s">
        <v>120</v>
      </c>
    </row>
    <row r="25" spans="1:13" x14ac:dyDescent="0.2">
      <c r="A25" s="26" t="s">
        <v>123</v>
      </c>
      <c r="I25" s="26" t="s">
        <v>121</v>
      </c>
    </row>
    <row r="28" spans="1:13" x14ac:dyDescent="0.2">
      <c r="I28" s="2"/>
    </row>
    <row r="29" spans="1:13" x14ac:dyDescent="0.2">
      <c r="I29" s="29" t="s">
        <v>133</v>
      </c>
    </row>
    <row r="30" spans="1:13" x14ac:dyDescent="0.2">
      <c r="E30" s="26" t="s">
        <v>125</v>
      </c>
      <c r="I30" s="2"/>
    </row>
    <row r="31" spans="1:13" x14ac:dyDescent="0.2">
      <c r="A31" s="34" t="s">
        <v>166</v>
      </c>
    </row>
    <row r="32" spans="1:13" x14ac:dyDescent="0.2">
      <c r="A32" s="34" t="s">
        <v>163</v>
      </c>
      <c r="G32" s="11" t="s">
        <v>134</v>
      </c>
      <c r="J32" s="11" t="s">
        <v>135</v>
      </c>
      <c r="M32" s="11" t="s">
        <v>161</v>
      </c>
    </row>
    <row r="33" spans="1:13" x14ac:dyDescent="0.2">
      <c r="A33" s="34" t="s">
        <v>164</v>
      </c>
      <c r="G33" s="29" t="s">
        <v>136</v>
      </c>
      <c r="J33" s="29" t="s">
        <v>141</v>
      </c>
      <c r="M33" s="33" t="s">
        <v>160</v>
      </c>
    </row>
    <row r="34" spans="1:13" x14ac:dyDescent="0.2">
      <c r="A34" s="34" t="s">
        <v>165</v>
      </c>
      <c r="G34" s="29" t="s">
        <v>137</v>
      </c>
      <c r="M34" s="33" t="s">
        <v>162</v>
      </c>
    </row>
    <row r="35" spans="1:13" x14ac:dyDescent="0.2">
      <c r="A35" s="35" t="s">
        <v>167</v>
      </c>
      <c r="G35" s="29" t="s">
        <v>138</v>
      </c>
    </row>
    <row r="36" spans="1:13" x14ac:dyDescent="0.2">
      <c r="A36" s="35" t="s">
        <v>168</v>
      </c>
      <c r="G36" s="29" t="s">
        <v>139</v>
      </c>
    </row>
    <row r="37" spans="1:13" x14ac:dyDescent="0.2">
      <c r="A37" s="36" t="s">
        <v>169</v>
      </c>
      <c r="G37" s="29" t="s">
        <v>140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0BE28-398D-4CC8-A7C9-E94B6BC720A8}">
  <dimension ref="A1:EU109"/>
  <sheetViews>
    <sheetView zoomScale="130" zoomScaleNormal="130" workbookViewId="0">
      <pane xSplit="2" ySplit="2" topLeftCell="W38" activePane="bottomRight" state="frozen"/>
      <selection pane="topRight" activeCell="B1" sqref="B1"/>
      <selection pane="bottomLeft" activeCell="A2" sqref="A2"/>
      <selection pane="bottomRight" activeCell="AF55" sqref="AF55"/>
    </sheetView>
  </sheetViews>
  <sheetFormatPr defaultRowHeight="12.75" x14ac:dyDescent="0.2"/>
  <cols>
    <col min="1" max="1" width="5" style="2" customWidth="1"/>
    <col min="2" max="2" width="22.7109375" style="2" bestFit="1" customWidth="1"/>
    <col min="3" max="6" width="9.140625" style="2" customWidth="1"/>
    <col min="7" max="9" width="9.140625" style="2"/>
    <col min="10" max="12" width="9.28515625" style="2" bestFit="1" customWidth="1"/>
    <col min="13" max="13" width="9" style="2" customWidth="1"/>
    <col min="14" max="14" width="9.28515625" style="2" bestFit="1" customWidth="1"/>
    <col min="15" max="15" width="9.28515625" style="2" customWidth="1"/>
    <col min="16" max="19" width="9.140625" style="2"/>
    <col min="20" max="30" width="9.28515625" style="2" bestFit="1" customWidth="1"/>
    <col min="31" max="31" width="10.7109375" style="2" bestFit="1" customWidth="1"/>
    <col min="32" max="33" width="10.140625" style="2" bestFit="1" customWidth="1"/>
    <col min="34" max="127" width="9.28515625" style="2" bestFit="1" customWidth="1"/>
    <col min="128" max="151" width="10.140625" style="2" bestFit="1" customWidth="1"/>
    <col min="152" max="16384" width="9.140625" style="2"/>
  </cols>
  <sheetData>
    <row r="1" spans="1:35" x14ac:dyDescent="0.2">
      <c r="A1" s="12" t="s">
        <v>34</v>
      </c>
      <c r="L1" s="19">
        <v>45896</v>
      </c>
      <c r="W1" s="6"/>
      <c r="X1" s="6"/>
      <c r="Y1" s="6"/>
    </row>
    <row r="2" spans="1:35" x14ac:dyDescent="0.2">
      <c r="C2" s="23" t="s">
        <v>113</v>
      </c>
      <c r="D2" s="23" t="s">
        <v>114</v>
      </c>
      <c r="E2" s="23" t="s">
        <v>115</v>
      </c>
      <c r="F2" s="23" t="s">
        <v>116</v>
      </c>
      <c r="G2" s="18" t="s">
        <v>20</v>
      </c>
      <c r="H2" s="18" t="s">
        <v>31</v>
      </c>
      <c r="I2" s="18" t="s">
        <v>32</v>
      </c>
      <c r="J2" s="18" t="s">
        <v>30</v>
      </c>
      <c r="K2" s="18" t="s">
        <v>83</v>
      </c>
      <c r="L2" s="18" t="s">
        <v>84</v>
      </c>
      <c r="M2" s="18" t="s">
        <v>85</v>
      </c>
      <c r="N2" s="18" t="s">
        <v>86</v>
      </c>
      <c r="O2" s="18" t="s">
        <v>87</v>
      </c>
      <c r="P2" s="18" t="s">
        <v>88</v>
      </c>
      <c r="Q2" s="18" t="s">
        <v>89</v>
      </c>
      <c r="R2" s="18" t="s">
        <v>90</v>
      </c>
      <c r="S2" s="18"/>
      <c r="T2" s="15">
        <v>2019</v>
      </c>
      <c r="U2" s="3">
        <v>2020</v>
      </c>
      <c r="V2" s="3">
        <f>U2+1</f>
        <v>2021</v>
      </c>
      <c r="W2" s="3">
        <f t="shared" ref="W2:AD2" si="0">V2+1</f>
        <v>2022</v>
      </c>
      <c r="X2" s="3">
        <f t="shared" si="0"/>
        <v>2023</v>
      </c>
      <c r="Y2" s="3">
        <f t="shared" si="0"/>
        <v>2024</v>
      </c>
      <c r="Z2" s="3">
        <f t="shared" si="0"/>
        <v>2025</v>
      </c>
      <c r="AA2" s="3">
        <f t="shared" si="0"/>
        <v>2026</v>
      </c>
      <c r="AB2" s="3">
        <f t="shared" si="0"/>
        <v>2027</v>
      </c>
      <c r="AC2" s="3">
        <f t="shared" si="0"/>
        <v>2028</v>
      </c>
      <c r="AD2" s="3">
        <f t="shared" si="0"/>
        <v>2029</v>
      </c>
      <c r="AE2" s="3"/>
      <c r="AF2" s="3"/>
      <c r="AG2" s="3"/>
      <c r="AH2" s="3"/>
      <c r="AI2" s="3"/>
    </row>
    <row r="3" spans="1:35" x14ac:dyDescent="0.2">
      <c r="B3" s="30" t="s">
        <v>145</v>
      </c>
      <c r="C3" s="23"/>
      <c r="D3" s="23"/>
      <c r="E3" s="23"/>
      <c r="F3" s="23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5"/>
      <c r="U3" s="3"/>
      <c r="V3" s="3"/>
      <c r="W3" s="2">
        <v>63600</v>
      </c>
      <c r="X3" s="2">
        <v>52700</v>
      </c>
      <c r="Y3" s="2">
        <v>83000</v>
      </c>
      <c r="Z3" s="2">
        <v>100000</v>
      </c>
      <c r="AA3" s="2">
        <f>(Z3-Z13)+AA13</f>
        <v>116000</v>
      </c>
      <c r="AB3" s="2">
        <f t="shared" ref="AB3:AD3" si="1">(AA3-AA13)+AB13</f>
        <v>135200</v>
      </c>
      <c r="AC3" s="2">
        <f t="shared" si="1"/>
        <v>158240</v>
      </c>
      <c r="AD3" s="2">
        <f t="shared" si="1"/>
        <v>185888</v>
      </c>
      <c r="AE3" s="3"/>
      <c r="AF3" s="3"/>
      <c r="AG3" s="3"/>
      <c r="AH3" s="3"/>
      <c r="AI3" s="3"/>
    </row>
    <row r="4" spans="1:35" x14ac:dyDescent="0.2">
      <c r="B4" s="30" t="s">
        <v>144</v>
      </c>
      <c r="C4" s="23"/>
      <c r="D4" s="23"/>
      <c r="E4" s="23"/>
      <c r="F4" s="23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5"/>
      <c r="U4" s="3"/>
      <c r="V4" s="3"/>
      <c r="W4" s="2">
        <v>31500</v>
      </c>
      <c r="X4" s="2">
        <v>32300</v>
      </c>
      <c r="Y4" s="2">
        <v>52500</v>
      </c>
      <c r="Z4" s="2">
        <v>85000</v>
      </c>
      <c r="AA4" s="2">
        <f t="shared" ref="AA4:AD11" si="2">(Z4-Z14)+AA14</f>
        <v>98600</v>
      </c>
      <c r="AB4" s="2">
        <f t="shared" si="2"/>
        <v>114920</v>
      </c>
      <c r="AC4" s="2">
        <f t="shared" si="2"/>
        <v>134504</v>
      </c>
      <c r="AD4" s="2">
        <f t="shared" si="2"/>
        <v>158004.79999999999</v>
      </c>
      <c r="AE4" s="3"/>
      <c r="AF4" s="3"/>
      <c r="AG4" s="3"/>
      <c r="AH4" s="3"/>
      <c r="AI4" s="3"/>
    </row>
    <row r="5" spans="1:35" x14ac:dyDescent="0.2">
      <c r="B5" s="30" t="s">
        <v>143</v>
      </c>
      <c r="C5" s="23"/>
      <c r="D5" s="23"/>
      <c r="E5" s="23"/>
      <c r="F5" s="23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5"/>
      <c r="U5" s="3"/>
      <c r="V5" s="3"/>
      <c r="W5" s="2">
        <v>23900</v>
      </c>
      <c r="X5" s="2">
        <v>28100</v>
      </c>
      <c r="Y5" s="2">
        <v>44500</v>
      </c>
      <c r="Z5" s="2">
        <v>80000</v>
      </c>
      <c r="AA5" s="2">
        <f t="shared" si="2"/>
        <v>96000</v>
      </c>
      <c r="AB5" s="2">
        <f t="shared" si="2"/>
        <v>115200</v>
      </c>
      <c r="AC5" s="2">
        <f t="shared" si="2"/>
        <v>138240</v>
      </c>
      <c r="AD5" s="2">
        <f t="shared" si="2"/>
        <v>165888</v>
      </c>
      <c r="AE5" s="3"/>
      <c r="AF5" s="3"/>
      <c r="AG5" s="3"/>
      <c r="AH5" s="3"/>
      <c r="AI5" s="3"/>
    </row>
    <row r="6" spans="1:35" x14ac:dyDescent="0.2">
      <c r="B6" s="30" t="s">
        <v>142</v>
      </c>
      <c r="C6" s="23"/>
      <c r="D6" s="23"/>
      <c r="E6" s="23"/>
      <c r="F6" s="23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5"/>
      <c r="U6" s="3"/>
      <c r="V6" s="3"/>
      <c r="W6" s="2">
        <v>32000</v>
      </c>
      <c r="X6" s="2">
        <v>27000</v>
      </c>
      <c r="Y6" s="2">
        <v>39200</v>
      </c>
      <c r="Z6" s="2">
        <v>70000</v>
      </c>
      <c r="AA6" s="2">
        <f t="shared" si="2"/>
        <v>82600</v>
      </c>
      <c r="AB6" s="2">
        <f t="shared" si="2"/>
        <v>97720</v>
      </c>
      <c r="AC6" s="2">
        <f t="shared" si="2"/>
        <v>115864</v>
      </c>
      <c r="AD6" s="2">
        <f t="shared" si="2"/>
        <v>137636.79999999999</v>
      </c>
      <c r="AE6" s="3"/>
      <c r="AF6" s="3"/>
      <c r="AG6" s="3"/>
      <c r="AH6" s="3"/>
      <c r="AI6" s="3"/>
    </row>
    <row r="7" spans="1:35" x14ac:dyDescent="0.2">
      <c r="B7" s="30" t="s">
        <v>146</v>
      </c>
      <c r="C7" s="23"/>
      <c r="D7" s="23"/>
      <c r="E7" s="23"/>
      <c r="F7" s="23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5"/>
      <c r="U7" s="3"/>
      <c r="V7" s="3"/>
      <c r="W7" s="2">
        <v>4510</v>
      </c>
      <c r="X7" s="2">
        <v>8700</v>
      </c>
      <c r="Y7" s="2">
        <v>6870</v>
      </c>
      <c r="Z7" s="2">
        <v>25000</v>
      </c>
      <c r="AA7" s="2">
        <f t="shared" si="2"/>
        <v>29500</v>
      </c>
      <c r="AB7" s="2">
        <f t="shared" si="2"/>
        <v>34900</v>
      </c>
      <c r="AC7" s="2">
        <f t="shared" si="2"/>
        <v>41380</v>
      </c>
      <c r="AD7" s="2">
        <f t="shared" si="2"/>
        <v>49156</v>
      </c>
      <c r="AE7" s="3"/>
      <c r="AF7" s="3"/>
      <c r="AG7" s="3"/>
      <c r="AH7" s="3"/>
      <c r="AI7" s="3"/>
    </row>
    <row r="8" spans="1:35" x14ac:dyDescent="0.2">
      <c r="B8" s="30" t="s">
        <v>147</v>
      </c>
      <c r="C8" s="23"/>
      <c r="D8" s="23"/>
      <c r="E8" s="23"/>
      <c r="F8" s="23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5"/>
      <c r="U8" s="3"/>
      <c r="V8" s="3"/>
      <c r="Z8" s="2">
        <v>12000</v>
      </c>
      <c r="AA8" s="2">
        <f t="shared" si="2"/>
        <v>14160</v>
      </c>
      <c r="AB8" s="2">
        <f t="shared" si="2"/>
        <v>16752</v>
      </c>
      <c r="AC8" s="2">
        <f t="shared" si="2"/>
        <v>19862.399999999998</v>
      </c>
      <c r="AD8" s="2">
        <f t="shared" si="2"/>
        <v>23594.879999999997</v>
      </c>
      <c r="AE8" s="3"/>
      <c r="AF8" s="3"/>
      <c r="AG8" s="3"/>
      <c r="AH8" s="3"/>
      <c r="AI8" s="3"/>
    </row>
    <row r="9" spans="1:35" x14ac:dyDescent="0.2">
      <c r="B9" s="30" t="s">
        <v>148</v>
      </c>
      <c r="C9" s="23"/>
      <c r="D9" s="23"/>
      <c r="E9" s="23"/>
      <c r="F9" s="23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5"/>
      <c r="U9" s="3"/>
      <c r="V9" s="3"/>
      <c r="W9" s="2">
        <v>10710</v>
      </c>
      <c r="X9" s="2">
        <v>10960</v>
      </c>
      <c r="Y9" s="2">
        <v>9450</v>
      </c>
      <c r="Z9" s="2">
        <v>12400</v>
      </c>
      <c r="AA9" s="2">
        <f t="shared" si="2"/>
        <v>14632</v>
      </c>
      <c r="AB9" s="2">
        <f t="shared" si="2"/>
        <v>17310.400000000001</v>
      </c>
      <c r="AC9" s="2">
        <f t="shared" si="2"/>
        <v>20524.480000000003</v>
      </c>
      <c r="AD9" s="2">
        <f t="shared" si="2"/>
        <v>24381.376000000004</v>
      </c>
      <c r="AE9" s="3"/>
      <c r="AF9" s="3"/>
      <c r="AG9" s="3"/>
      <c r="AH9" s="3"/>
      <c r="AI9" s="3"/>
    </row>
    <row r="10" spans="1:35" x14ac:dyDescent="0.2">
      <c r="B10" s="30" t="s">
        <v>149</v>
      </c>
      <c r="C10" s="23"/>
      <c r="D10" s="23"/>
      <c r="E10" s="23"/>
      <c r="F10" s="23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5"/>
      <c r="U10" s="3"/>
      <c r="V10" s="3"/>
      <c r="W10" s="2">
        <v>7410</v>
      </c>
      <c r="X10" s="2">
        <v>25750</v>
      </c>
      <c r="Y10" s="2">
        <v>23940</v>
      </c>
      <c r="Z10" s="2">
        <v>18000</v>
      </c>
      <c r="AA10" s="2">
        <f t="shared" si="2"/>
        <v>21240</v>
      </c>
      <c r="AB10" s="2">
        <f t="shared" si="2"/>
        <v>25128</v>
      </c>
      <c r="AC10" s="2">
        <f t="shared" si="2"/>
        <v>29793.599999999999</v>
      </c>
      <c r="AD10" s="2">
        <f t="shared" si="2"/>
        <v>35392.32</v>
      </c>
      <c r="AE10" s="3"/>
      <c r="AF10" s="3"/>
      <c r="AG10" s="3"/>
      <c r="AH10" s="3"/>
      <c r="AI10" s="3"/>
    </row>
    <row r="11" spans="1:35" x14ac:dyDescent="0.2">
      <c r="B11" s="30" t="s">
        <v>150</v>
      </c>
      <c r="C11" s="23"/>
      <c r="D11" s="23"/>
      <c r="E11" s="23"/>
      <c r="F11" s="23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5"/>
      <c r="U11" s="3"/>
      <c r="V11" s="3"/>
      <c r="W11" s="2">
        <v>7160</v>
      </c>
      <c r="X11" s="2">
        <v>8900</v>
      </c>
      <c r="Y11" s="2">
        <v>11340</v>
      </c>
      <c r="Z11" s="2">
        <v>9000</v>
      </c>
      <c r="AA11" s="2">
        <f t="shared" si="2"/>
        <v>10620</v>
      </c>
      <c r="AB11" s="2">
        <f t="shared" si="2"/>
        <v>12564</v>
      </c>
      <c r="AC11" s="2">
        <f t="shared" si="2"/>
        <v>14896.8</v>
      </c>
      <c r="AD11" s="2">
        <f t="shared" si="2"/>
        <v>17696.16</v>
      </c>
      <c r="AE11" s="3"/>
      <c r="AF11" s="3"/>
      <c r="AG11" s="3"/>
      <c r="AH11" s="3"/>
      <c r="AI11" s="3"/>
    </row>
    <row r="12" spans="1:35" x14ac:dyDescent="0.2">
      <c r="B12" s="30"/>
      <c r="C12" s="23"/>
      <c r="D12" s="23"/>
      <c r="E12" s="23"/>
      <c r="F12" s="23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5"/>
      <c r="U12" s="3"/>
      <c r="V12" s="3"/>
      <c r="AE12" s="3"/>
      <c r="AF12" s="3"/>
      <c r="AG12" s="3"/>
      <c r="AH12" s="3"/>
      <c r="AI12" s="3"/>
    </row>
    <row r="13" spans="1:35" x14ac:dyDescent="0.2">
      <c r="B13" s="32" t="s">
        <v>151</v>
      </c>
      <c r="C13" s="23"/>
      <c r="D13" s="23"/>
      <c r="E13" s="23"/>
      <c r="F13" s="23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5"/>
      <c r="U13" s="3"/>
      <c r="V13" s="3"/>
      <c r="Y13" s="2">
        <f>Y3*0.9</f>
        <v>74700</v>
      </c>
      <c r="Z13" s="2">
        <f>Z3*0.8</f>
        <v>80000</v>
      </c>
      <c r="AA13" s="2">
        <f>Z13*1.2</f>
        <v>96000</v>
      </c>
      <c r="AB13" s="2">
        <f t="shared" ref="AB13:AD13" si="3">AA13*1.2</f>
        <v>115200</v>
      </c>
      <c r="AC13" s="2">
        <f t="shared" si="3"/>
        <v>138240</v>
      </c>
      <c r="AD13" s="2">
        <f t="shared" si="3"/>
        <v>165888</v>
      </c>
      <c r="AE13" s="3"/>
      <c r="AF13" s="3"/>
      <c r="AG13" s="3"/>
      <c r="AH13" s="3"/>
      <c r="AI13" s="3"/>
    </row>
    <row r="14" spans="1:35" x14ac:dyDescent="0.2">
      <c r="B14" s="32" t="s">
        <v>152</v>
      </c>
      <c r="C14" s="23"/>
      <c r="D14" s="23"/>
      <c r="E14" s="23"/>
      <c r="F14" s="23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5"/>
      <c r="U14" s="3"/>
      <c r="V14" s="3"/>
      <c r="Y14" s="2">
        <f>Y4*0.9</f>
        <v>47250</v>
      </c>
      <c r="Z14" s="2">
        <f>Z4*0.8</f>
        <v>68000</v>
      </c>
      <c r="AA14" s="2">
        <f t="shared" ref="AA14:AD21" si="4">Z14*1.2</f>
        <v>81600</v>
      </c>
      <c r="AB14" s="2">
        <f t="shared" si="4"/>
        <v>97920</v>
      </c>
      <c r="AC14" s="2">
        <f t="shared" si="4"/>
        <v>117504</v>
      </c>
      <c r="AD14" s="2">
        <f t="shared" si="4"/>
        <v>141004.79999999999</v>
      </c>
      <c r="AE14" s="3"/>
      <c r="AF14" s="3"/>
      <c r="AG14" s="3"/>
      <c r="AH14" s="3"/>
      <c r="AI14" s="3"/>
    </row>
    <row r="15" spans="1:35" x14ac:dyDescent="0.2">
      <c r="B15" s="32" t="s">
        <v>153</v>
      </c>
      <c r="C15" s="23"/>
      <c r="D15" s="23"/>
      <c r="E15" s="23"/>
      <c r="F15" s="23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5"/>
      <c r="U15" s="3"/>
      <c r="V15" s="3"/>
      <c r="Y15" s="2">
        <f>Y5*0.9</f>
        <v>40050</v>
      </c>
      <c r="Z15" s="2">
        <f>Z5*1</f>
        <v>80000</v>
      </c>
      <c r="AA15" s="2">
        <f t="shared" si="4"/>
        <v>96000</v>
      </c>
      <c r="AB15" s="2">
        <f t="shared" si="4"/>
        <v>115200</v>
      </c>
      <c r="AC15" s="2">
        <f t="shared" si="4"/>
        <v>138240</v>
      </c>
      <c r="AD15" s="2">
        <f t="shared" si="4"/>
        <v>165888</v>
      </c>
      <c r="AE15" s="3"/>
      <c r="AF15" s="3"/>
      <c r="AG15" s="3"/>
      <c r="AH15" s="3"/>
      <c r="AI15" s="3"/>
    </row>
    <row r="16" spans="1:35" x14ac:dyDescent="0.2">
      <c r="B16" s="32" t="s">
        <v>154</v>
      </c>
      <c r="C16" s="23"/>
      <c r="D16" s="23"/>
      <c r="E16" s="23"/>
      <c r="F16" s="23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5"/>
      <c r="U16" s="3"/>
      <c r="V16" s="3"/>
      <c r="Y16" s="2">
        <f t="shared" ref="Y16:Z21" si="5">Y6*0.9</f>
        <v>35280</v>
      </c>
      <c r="Z16" s="2">
        <f t="shared" si="5"/>
        <v>63000</v>
      </c>
      <c r="AA16" s="2">
        <f t="shared" si="4"/>
        <v>75600</v>
      </c>
      <c r="AB16" s="2">
        <f t="shared" si="4"/>
        <v>90720</v>
      </c>
      <c r="AC16" s="2">
        <f t="shared" si="4"/>
        <v>108864</v>
      </c>
      <c r="AD16" s="2">
        <f t="shared" si="4"/>
        <v>130636.79999999999</v>
      </c>
      <c r="AE16" s="3"/>
      <c r="AF16" s="3"/>
      <c r="AG16" s="3"/>
      <c r="AH16" s="3"/>
      <c r="AI16" s="3"/>
    </row>
    <row r="17" spans="1:35" x14ac:dyDescent="0.2">
      <c r="B17" s="32" t="s">
        <v>155</v>
      </c>
      <c r="C17" s="23"/>
      <c r="D17" s="23"/>
      <c r="E17" s="23"/>
      <c r="F17" s="23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5"/>
      <c r="U17" s="3"/>
      <c r="V17" s="3"/>
      <c r="Y17" s="2">
        <f t="shared" si="5"/>
        <v>6183</v>
      </c>
      <c r="Z17" s="2">
        <f t="shared" si="5"/>
        <v>22500</v>
      </c>
      <c r="AA17" s="2">
        <f t="shared" si="4"/>
        <v>27000</v>
      </c>
      <c r="AB17" s="2">
        <f t="shared" si="4"/>
        <v>32400</v>
      </c>
      <c r="AC17" s="2">
        <f t="shared" si="4"/>
        <v>38880</v>
      </c>
      <c r="AD17" s="2">
        <f t="shared" si="4"/>
        <v>46656</v>
      </c>
      <c r="AE17" s="3"/>
      <c r="AF17" s="3"/>
      <c r="AG17" s="3"/>
      <c r="AH17" s="3"/>
      <c r="AI17" s="3"/>
    </row>
    <row r="18" spans="1:35" x14ac:dyDescent="0.2">
      <c r="B18" s="32" t="s">
        <v>156</v>
      </c>
      <c r="C18" s="23"/>
      <c r="D18" s="23"/>
      <c r="E18" s="23"/>
      <c r="F18" s="23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5"/>
      <c r="U18" s="3"/>
      <c r="V18" s="3"/>
      <c r="Y18" s="2">
        <f t="shared" si="5"/>
        <v>0</v>
      </c>
      <c r="Z18" s="2">
        <f t="shared" si="5"/>
        <v>10800</v>
      </c>
      <c r="AA18" s="2">
        <f t="shared" si="4"/>
        <v>12960</v>
      </c>
      <c r="AB18" s="2">
        <f t="shared" si="4"/>
        <v>15552</v>
      </c>
      <c r="AC18" s="2">
        <f t="shared" si="4"/>
        <v>18662.399999999998</v>
      </c>
      <c r="AD18" s="2">
        <f t="shared" si="4"/>
        <v>22394.879999999997</v>
      </c>
      <c r="AE18" s="3"/>
      <c r="AF18" s="3"/>
      <c r="AG18" s="3"/>
      <c r="AH18" s="3"/>
      <c r="AI18" s="3"/>
    </row>
    <row r="19" spans="1:35" x14ac:dyDescent="0.2">
      <c r="B19" s="32" t="s">
        <v>157</v>
      </c>
      <c r="C19" s="23"/>
      <c r="D19" s="23"/>
      <c r="E19" s="23"/>
      <c r="F19" s="23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5"/>
      <c r="U19" s="3"/>
      <c r="V19" s="3"/>
      <c r="Y19" s="2">
        <f t="shared" si="5"/>
        <v>8505</v>
      </c>
      <c r="Z19" s="2">
        <f t="shared" si="5"/>
        <v>11160</v>
      </c>
      <c r="AA19" s="2">
        <f t="shared" si="4"/>
        <v>13392</v>
      </c>
      <c r="AB19" s="2">
        <f t="shared" si="4"/>
        <v>16070.4</v>
      </c>
      <c r="AC19" s="2">
        <f t="shared" si="4"/>
        <v>19284.48</v>
      </c>
      <c r="AD19" s="2">
        <f t="shared" si="4"/>
        <v>23141.376</v>
      </c>
      <c r="AE19" s="3"/>
      <c r="AF19" s="3"/>
      <c r="AG19" s="3"/>
      <c r="AH19" s="3"/>
      <c r="AI19" s="3"/>
    </row>
    <row r="20" spans="1:35" x14ac:dyDescent="0.2">
      <c r="B20" s="32" t="s">
        <v>158</v>
      </c>
      <c r="C20" s="23"/>
      <c r="D20" s="23"/>
      <c r="E20" s="23"/>
      <c r="F20" s="23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5"/>
      <c r="U20" s="3"/>
      <c r="V20" s="3"/>
      <c r="Y20" s="2">
        <f t="shared" si="5"/>
        <v>21546</v>
      </c>
      <c r="Z20" s="2">
        <f t="shared" si="5"/>
        <v>16200</v>
      </c>
      <c r="AA20" s="2">
        <f t="shared" si="4"/>
        <v>19440</v>
      </c>
      <c r="AB20" s="2">
        <f t="shared" si="4"/>
        <v>23328</v>
      </c>
      <c r="AC20" s="2">
        <f t="shared" si="4"/>
        <v>27993.599999999999</v>
      </c>
      <c r="AD20" s="2">
        <f t="shared" si="4"/>
        <v>33592.32</v>
      </c>
      <c r="AE20" s="3"/>
      <c r="AF20" s="3"/>
      <c r="AG20" s="3"/>
      <c r="AH20" s="3"/>
      <c r="AI20" s="3"/>
    </row>
    <row r="21" spans="1:35" x14ac:dyDescent="0.2">
      <c r="B21" s="32" t="s">
        <v>159</v>
      </c>
      <c r="C21" s="23"/>
      <c r="D21" s="23"/>
      <c r="E21" s="23"/>
      <c r="F21" s="23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5"/>
      <c r="U21" s="3"/>
      <c r="V21" s="3"/>
      <c r="Y21" s="2">
        <f t="shared" si="5"/>
        <v>10206</v>
      </c>
      <c r="Z21" s="2">
        <f t="shared" si="5"/>
        <v>8100</v>
      </c>
      <c r="AA21" s="2">
        <f t="shared" si="4"/>
        <v>9720</v>
      </c>
      <c r="AB21" s="2">
        <f t="shared" si="4"/>
        <v>11664</v>
      </c>
      <c r="AC21" s="2">
        <f t="shared" si="4"/>
        <v>13996.8</v>
      </c>
      <c r="AD21" s="2">
        <f t="shared" si="4"/>
        <v>16796.16</v>
      </c>
      <c r="AE21" s="3"/>
      <c r="AF21" s="3"/>
      <c r="AG21" s="3"/>
      <c r="AH21" s="3"/>
      <c r="AI21" s="3"/>
    </row>
    <row r="22" spans="1:35" x14ac:dyDescent="0.2">
      <c r="C22" s="23"/>
      <c r="D22" s="23"/>
      <c r="E22" s="23"/>
      <c r="F22" s="23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5"/>
      <c r="U22" s="3"/>
      <c r="V22" s="3"/>
      <c r="AA22" s="3"/>
      <c r="AB22" s="3"/>
      <c r="AC22" s="3"/>
      <c r="AD22" s="3"/>
      <c r="AE22" s="3"/>
      <c r="AF22" s="3"/>
      <c r="AG22" s="3"/>
      <c r="AH22" s="3"/>
      <c r="AI22" s="3"/>
    </row>
    <row r="23" spans="1:35" x14ac:dyDescent="0.2">
      <c r="B23" s="27" t="s">
        <v>127</v>
      </c>
      <c r="C23" s="23"/>
      <c r="D23" s="23"/>
      <c r="E23" s="23"/>
      <c r="F23" s="23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5"/>
      <c r="U23" s="3"/>
      <c r="V23" s="3"/>
      <c r="W23" s="3"/>
      <c r="X23" s="3"/>
      <c r="Y23" s="2">
        <v>308000</v>
      </c>
      <c r="Z23" s="2">
        <v>550000</v>
      </c>
      <c r="AA23" s="2">
        <f>Z23*1.21</f>
        <v>665500</v>
      </c>
      <c r="AB23" s="2">
        <f t="shared" ref="AB23:AC23" si="6">AA23*1.21</f>
        <v>805255</v>
      </c>
      <c r="AC23" s="2">
        <f t="shared" si="6"/>
        <v>974358.54999999993</v>
      </c>
      <c r="AD23" s="27">
        <v>1200000</v>
      </c>
      <c r="AE23" s="3"/>
      <c r="AF23" s="3"/>
      <c r="AG23" s="3"/>
      <c r="AH23" s="3"/>
      <c r="AI23" s="3"/>
    </row>
    <row r="24" spans="1:35" x14ac:dyDescent="0.2">
      <c r="B24" s="27" t="s">
        <v>128</v>
      </c>
      <c r="C24" s="23"/>
      <c r="D24" s="23"/>
      <c r="E24" s="23"/>
      <c r="F24" s="23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5"/>
      <c r="U24" s="3"/>
      <c r="V24" s="3"/>
      <c r="W24" s="3"/>
      <c r="X24" s="3"/>
      <c r="Y24" s="2">
        <v>110000</v>
      </c>
      <c r="Z24" s="2">
        <f>Y24*1.28</f>
        <v>140800</v>
      </c>
      <c r="AA24" s="2">
        <f t="shared" ref="AA24:AD24" si="7">Z24*1.28</f>
        <v>180224</v>
      </c>
      <c r="AB24" s="2">
        <f t="shared" si="7"/>
        <v>230686.72</v>
      </c>
      <c r="AC24" s="2">
        <f t="shared" si="7"/>
        <v>295279.00160000002</v>
      </c>
      <c r="AD24" s="2">
        <f t="shared" si="7"/>
        <v>377957.12204800005</v>
      </c>
      <c r="AE24" s="3"/>
      <c r="AF24" s="3"/>
      <c r="AG24" s="3"/>
      <c r="AH24" s="3"/>
      <c r="AI24" s="3"/>
    </row>
    <row r="25" spans="1:35" x14ac:dyDescent="0.2">
      <c r="C25" s="23"/>
      <c r="D25" s="23"/>
      <c r="E25" s="23"/>
      <c r="F25" s="23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5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G25" s="3"/>
      <c r="AH25" s="3"/>
      <c r="AI25" s="3"/>
    </row>
    <row r="26" spans="1:35" x14ac:dyDescent="0.2">
      <c r="B26" s="23" t="s">
        <v>124</v>
      </c>
      <c r="C26" s="23"/>
      <c r="D26" s="23"/>
      <c r="E26" s="23"/>
      <c r="F26" s="23"/>
      <c r="G26" s="18"/>
      <c r="H26" s="18"/>
      <c r="I26" s="18"/>
      <c r="J26" s="18"/>
      <c r="K26" s="27">
        <v>4500</v>
      </c>
      <c r="L26" s="27">
        <v>0</v>
      </c>
      <c r="M26" s="18">
        <f>8560*0.85</f>
        <v>7276</v>
      </c>
      <c r="N26" s="18">
        <f>M26*1.07</f>
        <v>7785.3200000000006</v>
      </c>
      <c r="O26" s="18"/>
      <c r="P26" s="18"/>
      <c r="Q26" s="18"/>
      <c r="R26" s="18"/>
      <c r="S26" s="18"/>
      <c r="T26" s="15"/>
      <c r="U26" s="3"/>
      <c r="V26" s="3"/>
      <c r="W26" s="6"/>
      <c r="X26" s="6"/>
      <c r="Y26" s="6"/>
      <c r="Z26" s="6"/>
      <c r="AA26" s="3"/>
      <c r="AB26" s="3"/>
      <c r="AC26" s="3"/>
      <c r="AD26" s="3"/>
      <c r="AE26" s="3"/>
      <c r="AG26" s="3"/>
      <c r="AH26" s="3"/>
      <c r="AI26" s="3"/>
    </row>
    <row r="27" spans="1:35" x14ac:dyDescent="0.2">
      <c r="B27" s="23" t="s">
        <v>126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5"/>
      <c r="U27" s="3"/>
      <c r="V27" s="3"/>
      <c r="W27" s="3"/>
      <c r="X27" s="6"/>
      <c r="Y27" s="6"/>
      <c r="Z27" s="6"/>
      <c r="AA27" s="6"/>
      <c r="AB27" s="6"/>
      <c r="AC27" s="6"/>
      <c r="AD27" s="6"/>
      <c r="AF27" s="31"/>
      <c r="AG27" s="3"/>
      <c r="AH27" s="6"/>
      <c r="AI27" s="3"/>
    </row>
    <row r="28" spans="1:35" x14ac:dyDescent="0.2">
      <c r="B28" s="23" t="s">
        <v>35</v>
      </c>
      <c r="C28" s="23"/>
      <c r="D28" s="23"/>
      <c r="E28" s="23"/>
      <c r="F28" s="23"/>
      <c r="K28" s="18"/>
      <c r="L28" s="18"/>
      <c r="M28" s="18"/>
      <c r="N28" s="18"/>
      <c r="O28" s="18"/>
      <c r="P28" s="18"/>
      <c r="Q28" s="18"/>
      <c r="R28" s="18"/>
      <c r="S28" s="18"/>
      <c r="T28" s="15"/>
      <c r="U28" s="3"/>
      <c r="V28" s="3"/>
      <c r="W28" s="3"/>
      <c r="X28" s="3"/>
      <c r="Y28" s="3"/>
      <c r="Z28" s="3"/>
      <c r="AA28" s="3"/>
      <c r="AB28" s="3"/>
      <c r="AC28" s="3"/>
      <c r="AD28" s="3"/>
      <c r="AE28" s="6"/>
      <c r="AF28" s="3"/>
      <c r="AG28" s="3"/>
      <c r="AH28" s="3"/>
      <c r="AI28" s="3"/>
    </row>
    <row r="29" spans="1:35" x14ac:dyDescent="0.2"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5"/>
      <c r="U29" s="3"/>
      <c r="V29" s="3"/>
      <c r="W29" s="6"/>
      <c r="X29" s="6"/>
      <c r="Y29" s="6"/>
      <c r="Z29" s="6"/>
      <c r="AA29" s="6"/>
      <c r="AB29" s="6"/>
      <c r="AC29" s="6"/>
      <c r="AD29" s="6"/>
      <c r="AE29" s="3"/>
      <c r="AF29" s="3"/>
      <c r="AG29" s="3"/>
      <c r="AH29" s="3"/>
      <c r="AI29" s="3"/>
    </row>
    <row r="30" spans="1:35" x14ac:dyDescent="0.2">
      <c r="B30" s="23" t="s">
        <v>112</v>
      </c>
      <c r="C30" s="23"/>
      <c r="D30" s="18">
        <v>66</v>
      </c>
      <c r="E30" s="18">
        <v>73</v>
      </c>
      <c r="F30" s="18">
        <v>90</v>
      </c>
      <c r="G30" s="18">
        <v>78</v>
      </c>
      <c r="H30" s="18">
        <v>88</v>
      </c>
      <c r="I30" s="2">
        <v>97</v>
      </c>
      <c r="J30" s="2">
        <v>126</v>
      </c>
      <c r="K30" s="2">
        <v>111</v>
      </c>
      <c r="M30" s="18"/>
      <c r="N30" s="18"/>
      <c r="O30" s="18"/>
      <c r="P30" s="18"/>
      <c r="Q30" s="18"/>
      <c r="R30" s="18"/>
      <c r="S30" s="18"/>
      <c r="T30" s="15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 ht="13.5" x14ac:dyDescent="0.25">
      <c r="A31" s="1"/>
      <c r="B31" s="2" t="s">
        <v>57</v>
      </c>
      <c r="D31" s="2">
        <v>253</v>
      </c>
      <c r="E31" s="2">
        <v>261</v>
      </c>
      <c r="F31" s="2">
        <v>281</v>
      </c>
      <c r="G31" s="2">
        <v>329</v>
      </c>
      <c r="H31" s="2">
        <v>346</v>
      </c>
      <c r="I31" s="2">
        <v>449</v>
      </c>
      <c r="J31" s="2">
        <v>570</v>
      </c>
      <c r="K31" s="2">
        <v>567</v>
      </c>
      <c r="T31" s="3"/>
      <c r="U31" s="2">
        <v>535</v>
      </c>
      <c r="V31" s="2">
        <v>565</v>
      </c>
      <c r="W31" s="2">
        <v>903</v>
      </c>
      <c r="X31" s="2">
        <v>1091</v>
      </c>
      <c r="Y31" s="2">
        <v>1700</v>
      </c>
      <c r="Z31" s="2">
        <f>Y31*1.55</f>
        <v>2635</v>
      </c>
      <c r="AA31" s="2">
        <f t="shared" ref="AA31:AD31" si="8">Z31*1.55</f>
        <v>4084.25</v>
      </c>
      <c r="AB31" s="2">
        <f t="shared" si="8"/>
        <v>6330.5875000000005</v>
      </c>
      <c r="AC31" s="2">
        <f t="shared" si="8"/>
        <v>9812.4106250000004</v>
      </c>
      <c r="AD31" s="2">
        <f t="shared" si="8"/>
        <v>15209.236468750001</v>
      </c>
    </row>
    <row r="32" spans="1:35" ht="13.5" x14ac:dyDescent="0.25">
      <c r="A32" s="1"/>
      <c r="B32" s="2" t="s">
        <v>56</v>
      </c>
      <c r="D32" s="2">
        <v>379</v>
      </c>
      <c r="E32" s="2">
        <v>416</v>
      </c>
      <c r="F32" s="2">
        <v>463</v>
      </c>
      <c r="G32" s="2">
        <v>427</v>
      </c>
      <c r="H32" s="2">
        <v>454</v>
      </c>
      <c r="I32" s="2">
        <v>486</v>
      </c>
      <c r="J32" s="2">
        <v>511</v>
      </c>
      <c r="K32" s="2">
        <v>509</v>
      </c>
      <c r="T32" s="3"/>
      <c r="U32" s="2">
        <v>1053</v>
      </c>
      <c r="V32" s="2">
        <v>2111</v>
      </c>
      <c r="W32" s="2">
        <v>1544</v>
      </c>
      <c r="X32" s="2">
        <v>1553</v>
      </c>
      <c r="Y32" s="2">
        <v>1900</v>
      </c>
      <c r="Z32" s="2">
        <f>Y32*1.22</f>
        <v>2318</v>
      </c>
      <c r="AA32" s="2">
        <f t="shared" ref="AA32:AD32" si="9">Z32*1.22</f>
        <v>2827.96</v>
      </c>
      <c r="AB32" s="2">
        <f t="shared" si="9"/>
        <v>3450.1111999999998</v>
      </c>
      <c r="AC32" s="2">
        <f t="shared" si="9"/>
        <v>4209.1356639999995</v>
      </c>
      <c r="AD32" s="2">
        <f t="shared" si="9"/>
        <v>5135.1455100799994</v>
      </c>
    </row>
    <row r="33" spans="1:151" ht="13.5" x14ac:dyDescent="0.25">
      <c r="A33" s="1"/>
      <c r="B33" s="2" t="s">
        <v>55</v>
      </c>
      <c r="D33" s="2">
        <v>2486</v>
      </c>
      <c r="E33" s="2">
        <v>2856</v>
      </c>
      <c r="F33" s="2">
        <v>2865</v>
      </c>
      <c r="G33" s="2">
        <v>2647</v>
      </c>
      <c r="H33" s="2">
        <v>2880</v>
      </c>
      <c r="I33" s="2">
        <v>3279</v>
      </c>
      <c r="J33" s="2">
        <v>2544</v>
      </c>
      <c r="K33" s="2">
        <v>3763</v>
      </c>
      <c r="T33" s="3"/>
      <c r="U33" s="2">
        <v>7759</v>
      </c>
      <c r="V33" s="2">
        <v>12462</v>
      </c>
      <c r="W33" s="2">
        <v>9067</v>
      </c>
      <c r="X33" s="2">
        <v>10447</v>
      </c>
      <c r="Y33" s="2">
        <v>11400</v>
      </c>
      <c r="Z33" s="2">
        <f>Y33*1.16</f>
        <v>13223.999999999998</v>
      </c>
      <c r="AA33" s="2">
        <f t="shared" ref="AA33:AD33" si="10">Z33*1.16</f>
        <v>15339.839999999997</v>
      </c>
      <c r="AB33" s="2">
        <f t="shared" si="10"/>
        <v>17794.214399999993</v>
      </c>
      <c r="AC33" s="2">
        <f t="shared" si="10"/>
        <v>20641.288703999991</v>
      </c>
      <c r="AD33" s="2">
        <f t="shared" si="10"/>
        <v>23943.894896639988</v>
      </c>
    </row>
    <row r="34" spans="1:151" ht="13.5" x14ac:dyDescent="0.25">
      <c r="A34" s="1"/>
      <c r="B34" s="2" t="s">
        <v>40</v>
      </c>
      <c r="D34" s="2">
        <v>10323</v>
      </c>
      <c r="E34" s="2">
        <v>14514</v>
      </c>
      <c r="F34" s="2">
        <v>18404</v>
      </c>
      <c r="G34" s="2">
        <v>22563</v>
      </c>
      <c r="H34" s="2">
        <v>26272</v>
      </c>
      <c r="I34" s="2">
        <v>30771</v>
      </c>
      <c r="J34" s="2">
        <v>35580</v>
      </c>
      <c r="K34" s="2">
        <v>39112</v>
      </c>
      <c r="L34" s="6"/>
      <c r="M34" s="5"/>
      <c r="N34" s="6"/>
      <c r="T34" s="3"/>
      <c r="U34" s="2">
        <f>U35-SUM(U31:U33)</f>
        <v>1573</v>
      </c>
      <c r="V34" s="2">
        <f>V35-SUM(V31:V33)</f>
        <v>1542</v>
      </c>
      <c r="W34" s="2">
        <f>W35-SUM(W31:W33)</f>
        <v>15460</v>
      </c>
      <c r="X34" s="2">
        <f>X35-SUM(X31:X33)</f>
        <v>47831</v>
      </c>
      <c r="Y34" s="2">
        <v>115200</v>
      </c>
      <c r="Z34" s="2">
        <f>Y34*1.48</f>
        <v>170496</v>
      </c>
      <c r="AA34" s="2">
        <f>Z34*1.44</f>
        <v>245514.23999999999</v>
      </c>
      <c r="AB34" s="2">
        <f t="shared" ref="AB34:AD34" si="11">AA34*1.44</f>
        <v>353540.50559999997</v>
      </c>
      <c r="AC34" s="2">
        <f t="shared" si="11"/>
        <v>509098.32806399994</v>
      </c>
      <c r="AD34" s="2">
        <f t="shared" si="11"/>
        <v>733101.59241215989</v>
      </c>
      <c r="AE34" s="25"/>
    </row>
    <row r="35" spans="1:151" s="4" customFormat="1" x14ac:dyDescent="0.2">
      <c r="B35" s="4" t="s">
        <v>6</v>
      </c>
      <c r="D35" s="4">
        <f t="shared" ref="D35:K35" si="12">SUM(D30:D34)</f>
        <v>13507</v>
      </c>
      <c r="E35" s="4">
        <f t="shared" si="12"/>
        <v>18120</v>
      </c>
      <c r="F35" s="4">
        <f t="shared" si="12"/>
        <v>22103</v>
      </c>
      <c r="G35" s="4">
        <f t="shared" si="12"/>
        <v>26044</v>
      </c>
      <c r="H35" s="4">
        <f t="shared" si="12"/>
        <v>30040</v>
      </c>
      <c r="I35" s="4">
        <f t="shared" si="12"/>
        <v>35082</v>
      </c>
      <c r="J35" s="4">
        <f t="shared" si="12"/>
        <v>39331</v>
      </c>
      <c r="K35" s="4">
        <f t="shared" si="12"/>
        <v>44062</v>
      </c>
      <c r="L35" s="4">
        <v>45000</v>
      </c>
      <c r="M35" s="4">
        <f>L35*1.18</f>
        <v>53100</v>
      </c>
      <c r="N35" s="4">
        <f>M35*1.1</f>
        <v>58410.000000000007</v>
      </c>
      <c r="O35" s="4">
        <f>N35*1.1</f>
        <v>64251.000000000015</v>
      </c>
      <c r="P35" s="4">
        <f t="shared" ref="P35:R35" si="13">O35*1.1</f>
        <v>70676.10000000002</v>
      </c>
      <c r="Q35" s="4">
        <f t="shared" si="13"/>
        <v>77743.710000000036</v>
      </c>
      <c r="R35" s="4">
        <f t="shared" si="13"/>
        <v>85518.081000000049</v>
      </c>
      <c r="T35" s="4">
        <v>11720</v>
      </c>
      <c r="U35" s="4">
        <v>10920</v>
      </c>
      <c r="V35" s="4">
        <v>16680</v>
      </c>
      <c r="W35" s="4">
        <v>26974</v>
      </c>
      <c r="X35" s="4">
        <v>60922</v>
      </c>
      <c r="Y35" s="4">
        <v>130497</v>
      </c>
      <c r="Z35" s="4">
        <f>SUM(K35:N35)</f>
        <v>200572</v>
      </c>
      <c r="AA35" s="4">
        <f>Z35*1.4</f>
        <v>280800.8</v>
      </c>
      <c r="AB35" s="4">
        <f t="shared" ref="AB35:AD35" si="14">AA35*1.4</f>
        <v>393121.11999999994</v>
      </c>
      <c r="AC35" s="4">
        <f t="shared" si="14"/>
        <v>550369.56799999985</v>
      </c>
      <c r="AD35" s="4">
        <f t="shared" si="14"/>
        <v>770517.3951999998</v>
      </c>
      <c r="AE35" s="24"/>
    </row>
    <row r="36" spans="1:151" x14ac:dyDescent="0.2">
      <c r="B36" s="2" t="s">
        <v>7</v>
      </c>
      <c r="G36" s="2">
        <v>5638</v>
      </c>
      <c r="K36" s="2">
        <v>17394</v>
      </c>
      <c r="L36" s="2">
        <f>L35*(1-L55)</f>
        <v>12600.000000000002</v>
      </c>
      <c r="M36" s="2">
        <f>M35*(1-M55)</f>
        <v>14337.000000000002</v>
      </c>
      <c r="N36" s="2">
        <f>N35*(1-N55)</f>
        <v>14602.500000000002</v>
      </c>
      <c r="W36" s="2">
        <v>11618</v>
      </c>
      <c r="X36" s="2">
        <v>16621</v>
      </c>
      <c r="Y36" s="2">
        <v>32639</v>
      </c>
      <c r="Z36" s="2">
        <f>SUM(K36:N36)</f>
        <v>58933.5</v>
      </c>
      <c r="AA36" s="2">
        <f>AA35*(1-AA55)</f>
        <v>70200.2</v>
      </c>
      <c r="AB36" s="2">
        <f>AB35*(1-AB55)</f>
        <v>98280.279999999984</v>
      </c>
      <c r="AC36" s="2">
        <f>AC35*(1-AC55)</f>
        <v>137592.39199999996</v>
      </c>
      <c r="AD36" s="2">
        <f>AD35*(1-AD55)</f>
        <v>192629.34879999995</v>
      </c>
      <c r="AE36" s="27"/>
    </row>
    <row r="37" spans="1:151" x14ac:dyDescent="0.2">
      <c r="B37" s="2" t="s">
        <v>8</v>
      </c>
      <c r="G37" s="2">
        <f>G35-G36</f>
        <v>20406</v>
      </c>
      <c r="H37" s="2">
        <f t="shared" ref="H37:N37" si="15">H35-H36</f>
        <v>30040</v>
      </c>
      <c r="I37" s="2">
        <f t="shared" si="15"/>
        <v>35082</v>
      </c>
      <c r="J37" s="2">
        <f t="shared" si="15"/>
        <v>39331</v>
      </c>
      <c r="K37" s="2">
        <f t="shared" si="15"/>
        <v>26668</v>
      </c>
      <c r="L37" s="2">
        <f t="shared" si="15"/>
        <v>32400</v>
      </c>
      <c r="M37" s="2">
        <f t="shared" si="15"/>
        <v>38763</v>
      </c>
      <c r="N37" s="2">
        <f t="shared" si="15"/>
        <v>43807.500000000007</v>
      </c>
      <c r="T37" s="2">
        <f t="shared" ref="T37:AD37" si="16">T35-T36</f>
        <v>11720</v>
      </c>
      <c r="U37" s="2">
        <f t="shared" si="16"/>
        <v>10920</v>
      </c>
      <c r="V37" s="2">
        <f t="shared" si="16"/>
        <v>16680</v>
      </c>
      <c r="W37" s="2">
        <f t="shared" si="16"/>
        <v>15356</v>
      </c>
      <c r="X37" s="2">
        <f t="shared" si="16"/>
        <v>44301</v>
      </c>
      <c r="Y37" s="2">
        <f t="shared" si="16"/>
        <v>97858</v>
      </c>
      <c r="Z37" s="2">
        <f t="shared" si="16"/>
        <v>141638.5</v>
      </c>
      <c r="AA37" s="2">
        <f t="shared" si="16"/>
        <v>210600.59999999998</v>
      </c>
      <c r="AB37" s="2">
        <f t="shared" si="16"/>
        <v>294840.83999999997</v>
      </c>
      <c r="AC37" s="2">
        <f t="shared" si="16"/>
        <v>412777.17599999986</v>
      </c>
      <c r="AD37" s="2">
        <f t="shared" si="16"/>
        <v>577888.04639999988</v>
      </c>
    </row>
    <row r="38" spans="1:151" x14ac:dyDescent="0.2">
      <c r="B38" s="2" t="s">
        <v>9</v>
      </c>
      <c r="G38" s="2">
        <v>2720</v>
      </c>
      <c r="K38" s="2">
        <v>3989</v>
      </c>
      <c r="L38" s="2">
        <f>K38*1.14</f>
        <v>4547.46</v>
      </c>
      <c r="M38" s="2">
        <f t="shared" ref="M38:N38" si="17">L38*1.02</f>
        <v>4638.4092000000001</v>
      </c>
      <c r="N38" s="2">
        <f t="shared" si="17"/>
        <v>4731.1773840000005</v>
      </c>
      <c r="V38" s="6"/>
      <c r="W38" s="2">
        <v>7339</v>
      </c>
      <c r="X38" s="2">
        <v>8675</v>
      </c>
      <c r="Y38" s="2">
        <v>12914</v>
      </c>
      <c r="Z38" s="2">
        <f>SUM(K38:N38)</f>
        <v>17906.046584</v>
      </c>
      <c r="AA38" s="2">
        <f>Z38*1.23</f>
        <v>22024.437298320001</v>
      </c>
      <c r="AB38" s="2">
        <f t="shared" ref="AB38:AD38" si="18">AA38*1.23</f>
        <v>27090.057876933603</v>
      </c>
      <c r="AC38" s="2">
        <f t="shared" si="18"/>
        <v>33320.771188628329</v>
      </c>
      <c r="AD38" s="2">
        <f t="shared" si="18"/>
        <v>40984.548562012846</v>
      </c>
    </row>
    <row r="39" spans="1:151" x14ac:dyDescent="0.2">
      <c r="B39" s="2" t="s">
        <v>10</v>
      </c>
      <c r="G39" s="2">
        <v>777</v>
      </c>
      <c r="K39" s="2">
        <v>1041</v>
      </c>
      <c r="L39" s="2">
        <f>K39*1.1</f>
        <v>1145.1000000000001</v>
      </c>
      <c r="M39" s="2">
        <f t="shared" ref="M39:N39" si="19">L39*1.02</f>
        <v>1168.0020000000002</v>
      </c>
      <c r="N39" s="2">
        <f t="shared" si="19"/>
        <v>1191.3620400000002</v>
      </c>
      <c r="W39" s="2">
        <v>2440</v>
      </c>
      <c r="X39" s="2">
        <v>2654</v>
      </c>
      <c r="Y39" s="2">
        <v>3491</v>
      </c>
      <c r="Z39" s="2">
        <f>SUM(K39:N39)</f>
        <v>4545.4640400000008</v>
      </c>
      <c r="AA39" s="2">
        <f>Z39*1.2</f>
        <v>5454.5568480000011</v>
      </c>
      <c r="AB39" s="2">
        <f t="shared" ref="AB39:AD39" si="20">AA39*1.2</f>
        <v>6545.4682176000015</v>
      </c>
      <c r="AC39" s="2">
        <f t="shared" si="20"/>
        <v>7854.5618611200016</v>
      </c>
      <c r="AD39" s="2">
        <f t="shared" si="20"/>
        <v>9425.4742333440008</v>
      </c>
    </row>
    <row r="40" spans="1:151" x14ac:dyDescent="0.2">
      <c r="B40" s="16" t="s">
        <v>80</v>
      </c>
      <c r="C40" s="16"/>
      <c r="D40" s="16"/>
      <c r="E40" s="16"/>
      <c r="F40" s="16"/>
      <c r="G40" s="2">
        <f t="shared" ref="G40:N40" si="21">SUM(G38:G39)</f>
        <v>3497</v>
      </c>
      <c r="H40" s="2">
        <f t="shared" si="21"/>
        <v>0</v>
      </c>
      <c r="I40" s="2">
        <f t="shared" si="21"/>
        <v>0</v>
      </c>
      <c r="J40" s="2">
        <f t="shared" si="21"/>
        <v>0</v>
      </c>
      <c r="K40" s="2">
        <f t="shared" si="21"/>
        <v>5030</v>
      </c>
      <c r="L40" s="2">
        <f t="shared" si="21"/>
        <v>5692.56</v>
      </c>
      <c r="M40" s="2">
        <f t="shared" si="21"/>
        <v>5806.4112000000005</v>
      </c>
      <c r="N40" s="2">
        <f t="shared" si="21"/>
        <v>5922.5394240000005</v>
      </c>
      <c r="T40" s="2">
        <f t="shared" ref="T40:AD40" si="22">SUM(T38:T39)</f>
        <v>0</v>
      </c>
      <c r="U40" s="2">
        <f t="shared" si="22"/>
        <v>0</v>
      </c>
      <c r="V40" s="2">
        <f t="shared" si="22"/>
        <v>0</v>
      </c>
      <c r="W40" s="2">
        <f t="shared" si="22"/>
        <v>9779</v>
      </c>
      <c r="X40" s="2">
        <f t="shared" si="22"/>
        <v>11329</v>
      </c>
      <c r="Y40" s="2">
        <f t="shared" si="22"/>
        <v>16405</v>
      </c>
      <c r="Z40" s="2">
        <f t="shared" si="22"/>
        <v>22451.510624000002</v>
      </c>
      <c r="AA40" s="2">
        <f t="shared" si="22"/>
        <v>27478.994146320001</v>
      </c>
      <c r="AB40" s="2">
        <f t="shared" si="22"/>
        <v>33635.526094533605</v>
      </c>
      <c r="AC40" s="2">
        <f t="shared" si="22"/>
        <v>41175.333049748333</v>
      </c>
      <c r="AD40" s="2">
        <f t="shared" si="22"/>
        <v>50410.022795356846</v>
      </c>
    </row>
    <row r="41" spans="1:151" x14ac:dyDescent="0.2">
      <c r="B41" s="2" t="s">
        <v>11</v>
      </c>
      <c r="G41" s="2">
        <f t="shared" ref="G41:N41" si="23">G37-G40</f>
        <v>16909</v>
      </c>
      <c r="H41" s="2">
        <f t="shared" si="23"/>
        <v>30040</v>
      </c>
      <c r="I41" s="2">
        <f t="shared" si="23"/>
        <v>35082</v>
      </c>
      <c r="J41" s="2">
        <f t="shared" si="23"/>
        <v>39331</v>
      </c>
      <c r="K41" s="2">
        <f t="shared" si="23"/>
        <v>21638</v>
      </c>
      <c r="L41" s="2">
        <f t="shared" si="23"/>
        <v>26707.439999999999</v>
      </c>
      <c r="M41" s="2">
        <f t="shared" si="23"/>
        <v>32956.588799999998</v>
      </c>
      <c r="N41" s="2">
        <f t="shared" si="23"/>
        <v>37884.960576000005</v>
      </c>
      <c r="T41" s="2">
        <f t="shared" ref="T41:AD41" si="24">T37-T40</f>
        <v>11720</v>
      </c>
      <c r="U41" s="2">
        <f t="shared" si="24"/>
        <v>10920</v>
      </c>
      <c r="V41" s="2">
        <f t="shared" si="24"/>
        <v>16680</v>
      </c>
      <c r="W41" s="2">
        <f t="shared" si="24"/>
        <v>5577</v>
      </c>
      <c r="X41" s="2">
        <f t="shared" si="24"/>
        <v>32972</v>
      </c>
      <c r="Y41" s="2">
        <f t="shared" si="24"/>
        <v>81453</v>
      </c>
      <c r="Z41" s="2">
        <f t="shared" si="24"/>
        <v>119186.989376</v>
      </c>
      <c r="AA41" s="2">
        <f t="shared" si="24"/>
        <v>183121.60585367997</v>
      </c>
      <c r="AB41" s="2">
        <f t="shared" si="24"/>
        <v>261205.31390546635</v>
      </c>
      <c r="AC41" s="2">
        <f t="shared" si="24"/>
        <v>371601.84295025154</v>
      </c>
      <c r="AD41" s="2">
        <f t="shared" si="24"/>
        <v>527478.02360464307</v>
      </c>
    </row>
    <row r="42" spans="1:151" x14ac:dyDescent="0.2">
      <c r="B42" s="23" t="s">
        <v>99</v>
      </c>
      <c r="C42" s="23"/>
      <c r="D42" s="23"/>
      <c r="E42" s="23"/>
      <c r="F42" s="23"/>
      <c r="G42" s="2">
        <f>359-64</f>
        <v>295</v>
      </c>
      <c r="K42" s="2">
        <f>515-63</f>
        <v>452</v>
      </c>
      <c r="L42" s="2">
        <f>K58*$AG$48/4</f>
        <v>226.13499999999999</v>
      </c>
      <c r="M42" s="2">
        <f>L58*$AG$48/4</f>
        <v>338.58267562499998</v>
      </c>
      <c r="N42" s="2">
        <f>M58*$AG$48/4</f>
        <v>473.42812010128125</v>
      </c>
      <c r="T42" s="2">
        <f>P58*$AG$48</f>
        <v>0</v>
      </c>
      <c r="U42" s="2">
        <f>T58*$AG$48</f>
        <v>0</v>
      </c>
      <c r="V42" s="2">
        <f>U58*$AG$48</f>
        <v>0</v>
      </c>
      <c r="W42" s="2">
        <f>267-262</f>
        <v>5</v>
      </c>
      <c r="X42" s="2">
        <f>866-257</f>
        <v>609</v>
      </c>
      <c r="Y42" s="2">
        <f>1786-247</f>
        <v>1539</v>
      </c>
      <c r="Z42" s="2">
        <f>SUM(K42:N42)</f>
        <v>1490.1457957262812</v>
      </c>
      <c r="AA42" s="2">
        <f>Z58*$AG$48</f>
        <v>2515.1183772819659</v>
      </c>
      <c r="AB42" s="2">
        <f>AA58*$AG$48</f>
        <v>2565.4207448276052</v>
      </c>
      <c r="AC42" s="2">
        <f>AB58*$AG$48</f>
        <v>2616.7291597241569</v>
      </c>
      <c r="AD42" s="2">
        <f>AC58*$AG$48</f>
        <v>2669.0637429186404</v>
      </c>
    </row>
    <row r="43" spans="1:151" x14ac:dyDescent="0.2">
      <c r="B43" s="23" t="s">
        <v>100</v>
      </c>
      <c r="C43" s="23"/>
      <c r="D43" s="23"/>
      <c r="E43" s="23"/>
      <c r="F43" s="23"/>
      <c r="G43" s="2">
        <v>75</v>
      </c>
      <c r="K43" s="2">
        <v>-180</v>
      </c>
      <c r="W43" s="2">
        <v>-48</v>
      </c>
      <c r="X43" s="2">
        <v>237</v>
      </c>
      <c r="Y43" s="2">
        <v>1034</v>
      </c>
      <c r="Z43" s="2">
        <f>SUM(K43:N43)</f>
        <v>-180</v>
      </c>
      <c r="AA43" s="2">
        <v>0</v>
      </c>
      <c r="AB43" s="2">
        <f t="shared" ref="AB43:AD43" si="25">AA43*1.02</f>
        <v>0</v>
      </c>
      <c r="AC43" s="2">
        <f t="shared" si="25"/>
        <v>0</v>
      </c>
      <c r="AD43" s="2">
        <f t="shared" si="25"/>
        <v>0</v>
      </c>
    </row>
    <row r="44" spans="1:151" x14ac:dyDescent="0.2">
      <c r="B44" s="2" t="s">
        <v>13</v>
      </c>
      <c r="G44" s="2">
        <f>G41+SUM(G42:G43)</f>
        <v>17279</v>
      </c>
      <c r="H44" s="2">
        <f t="shared" ref="H44:N44" si="26">H41+SUM(H42:H43)</f>
        <v>30040</v>
      </c>
      <c r="I44" s="2">
        <f t="shared" si="26"/>
        <v>35082</v>
      </c>
      <c r="J44" s="2">
        <f t="shared" si="26"/>
        <v>39331</v>
      </c>
      <c r="K44" s="2">
        <f t="shared" si="26"/>
        <v>21910</v>
      </c>
      <c r="L44" s="2">
        <f t="shared" si="26"/>
        <v>26933.574999999997</v>
      </c>
      <c r="M44" s="2">
        <f t="shared" si="26"/>
        <v>33295.171475625</v>
      </c>
      <c r="N44" s="2">
        <f t="shared" si="26"/>
        <v>38358.388696101283</v>
      </c>
      <c r="T44" s="2">
        <f>T41+SUM(T42:T43)</f>
        <v>11720</v>
      </c>
      <c r="U44" s="2">
        <f>U41+SUM(U42:U43)</f>
        <v>10920</v>
      </c>
      <c r="V44" s="2">
        <f t="shared" ref="V44:Y44" si="27">V41+SUM(V42:V43)</f>
        <v>16680</v>
      </c>
      <c r="W44" s="2">
        <f t="shared" si="27"/>
        <v>5534</v>
      </c>
      <c r="X44" s="2">
        <f t="shared" si="27"/>
        <v>33818</v>
      </c>
      <c r="Y44" s="2">
        <f t="shared" si="27"/>
        <v>84026</v>
      </c>
      <c r="Z44" s="2">
        <f>Z41+SUM(Z42:Z43)</f>
        <v>120497.13517172627</v>
      </c>
      <c r="AA44" s="2">
        <f t="shared" ref="AA44:AD44" si="28">AA41+SUM(AA42:AA43)</f>
        <v>185636.72423096193</v>
      </c>
      <c r="AB44" s="2">
        <f t="shared" si="28"/>
        <v>263770.73465029395</v>
      </c>
      <c r="AC44" s="2">
        <f t="shared" si="28"/>
        <v>374218.57210997568</v>
      </c>
      <c r="AD44" s="2">
        <f t="shared" si="28"/>
        <v>530147.08734756173</v>
      </c>
    </row>
    <row r="45" spans="1:151" x14ac:dyDescent="0.2">
      <c r="B45" s="2" t="s">
        <v>14</v>
      </c>
      <c r="G45" s="2">
        <v>2398</v>
      </c>
      <c r="K45" s="2">
        <v>3135</v>
      </c>
      <c r="L45" s="2">
        <f>L44*0.165</f>
        <v>4444.0398749999995</v>
      </c>
      <c r="M45" s="2">
        <f>M44*0.19</f>
        <v>6326.0825803687503</v>
      </c>
      <c r="N45" s="2">
        <f>N44*0.19</f>
        <v>7288.0938522592442</v>
      </c>
      <c r="W45" s="2">
        <v>-187</v>
      </c>
      <c r="X45" s="2">
        <v>4058</v>
      </c>
      <c r="Y45" s="2">
        <v>11146</v>
      </c>
      <c r="Z45" s="2">
        <f>SUM(K45:N45)</f>
        <v>21193.216307627994</v>
      </c>
      <c r="AA45" s="2">
        <f>AA44*0.19</f>
        <v>35270.977603882769</v>
      </c>
      <c r="AB45" s="2">
        <f t="shared" ref="AB45:AD45" si="29">AB44*0.19</f>
        <v>50116.439583555853</v>
      </c>
      <c r="AC45" s="2">
        <f t="shared" si="29"/>
        <v>71101.528700895375</v>
      </c>
      <c r="AD45" s="2">
        <f t="shared" si="29"/>
        <v>100727.94659603672</v>
      </c>
    </row>
    <row r="46" spans="1:151" s="4" customFormat="1" x14ac:dyDescent="0.2">
      <c r="B46" s="4" t="s">
        <v>15</v>
      </c>
      <c r="G46" s="4">
        <f>G44-G45</f>
        <v>14881</v>
      </c>
      <c r="H46" s="4">
        <f t="shared" ref="H46:N46" si="30">H44-H45</f>
        <v>30040</v>
      </c>
      <c r="I46" s="4">
        <f t="shared" si="30"/>
        <v>35082</v>
      </c>
      <c r="J46" s="4">
        <f t="shared" si="30"/>
        <v>39331</v>
      </c>
      <c r="K46" s="4">
        <f t="shared" si="30"/>
        <v>18775</v>
      </c>
      <c r="L46" s="4">
        <f t="shared" si="30"/>
        <v>22489.535124999999</v>
      </c>
      <c r="M46" s="4">
        <f t="shared" si="30"/>
        <v>26969.088895256249</v>
      </c>
      <c r="N46" s="4">
        <f t="shared" si="30"/>
        <v>31070.294843842039</v>
      </c>
      <c r="T46" s="4">
        <f>T44-T45</f>
        <v>11720</v>
      </c>
      <c r="U46" s="4">
        <f>U44-U45</f>
        <v>10920</v>
      </c>
      <c r="V46" s="4">
        <f t="shared" ref="V46:Y46" si="31">V44-V45</f>
        <v>16680</v>
      </c>
      <c r="W46" s="4">
        <f t="shared" si="31"/>
        <v>5721</v>
      </c>
      <c r="X46" s="4">
        <f t="shared" si="31"/>
        <v>29760</v>
      </c>
      <c r="Y46" s="4">
        <f t="shared" si="31"/>
        <v>72880</v>
      </c>
      <c r="Z46" s="4">
        <f>Z44-Z45</f>
        <v>99303.918864098276</v>
      </c>
      <c r="AA46" s="4">
        <f t="shared" ref="AA46:AD46" si="32">AA44-AA45</f>
        <v>150365.74662707915</v>
      </c>
      <c r="AB46" s="4">
        <f t="shared" si="32"/>
        <v>213654.29506673809</v>
      </c>
      <c r="AC46" s="4">
        <f t="shared" si="32"/>
        <v>303117.0434090803</v>
      </c>
      <c r="AD46" s="4">
        <f t="shared" si="32"/>
        <v>429419.140751525</v>
      </c>
      <c r="AE46" s="4">
        <f t="shared" ref="AE46:BJ46" si="33">AD46*(1+$AG$49)</f>
        <v>433713.33215904026</v>
      </c>
      <c r="AF46" s="4">
        <f t="shared" si="33"/>
        <v>438050.46548063069</v>
      </c>
      <c r="AG46" s="4">
        <f t="shared" si="33"/>
        <v>442430.97013543698</v>
      </c>
      <c r="AH46" s="4">
        <f t="shared" si="33"/>
        <v>446855.27983679133</v>
      </c>
      <c r="AI46" s="4">
        <f t="shared" si="33"/>
        <v>451323.83263515926</v>
      </c>
      <c r="AJ46" s="4">
        <f t="shared" si="33"/>
        <v>455837.07096151088</v>
      </c>
      <c r="AK46" s="4">
        <f t="shared" si="33"/>
        <v>460395.441671126</v>
      </c>
      <c r="AL46" s="4">
        <f t="shared" si="33"/>
        <v>464999.39608783729</v>
      </c>
      <c r="AM46" s="4">
        <f t="shared" si="33"/>
        <v>469649.39004871569</v>
      </c>
      <c r="AN46" s="4">
        <f t="shared" si="33"/>
        <v>474345.88394920283</v>
      </c>
      <c r="AO46" s="4">
        <f t="shared" si="33"/>
        <v>479089.34278869489</v>
      </c>
      <c r="AP46" s="4">
        <f t="shared" si="33"/>
        <v>483880.23621658183</v>
      </c>
      <c r="AQ46" s="4">
        <f t="shared" si="33"/>
        <v>488719.03857874766</v>
      </c>
      <c r="AR46" s="4">
        <f t="shared" si="33"/>
        <v>493606.22896453511</v>
      </c>
      <c r="AS46" s="4">
        <f t="shared" si="33"/>
        <v>498542.29125418048</v>
      </c>
      <c r="AT46" s="4">
        <f t="shared" si="33"/>
        <v>503527.71416672232</v>
      </c>
      <c r="AU46" s="4">
        <f t="shared" si="33"/>
        <v>508562.99130838952</v>
      </c>
      <c r="AV46" s="4">
        <f t="shared" si="33"/>
        <v>513648.62122147344</v>
      </c>
      <c r="AW46" s="4">
        <f t="shared" si="33"/>
        <v>518785.10743368819</v>
      </c>
      <c r="AX46" s="4">
        <f t="shared" si="33"/>
        <v>523972.9585080251</v>
      </c>
      <c r="AY46" s="4">
        <f t="shared" si="33"/>
        <v>529212.68809310533</v>
      </c>
      <c r="AZ46" s="4">
        <f t="shared" si="33"/>
        <v>534504.81497403642</v>
      </c>
      <c r="BA46" s="4">
        <f t="shared" si="33"/>
        <v>539849.86312377674</v>
      </c>
      <c r="BB46" s="4">
        <f t="shared" si="33"/>
        <v>545248.36175501451</v>
      </c>
      <c r="BC46" s="4">
        <f t="shared" si="33"/>
        <v>550700.84537256462</v>
      </c>
      <c r="BD46" s="4">
        <f t="shared" si="33"/>
        <v>556207.85382629023</v>
      </c>
      <c r="BE46" s="4">
        <f t="shared" si="33"/>
        <v>561769.9323645531</v>
      </c>
      <c r="BF46" s="4">
        <f t="shared" si="33"/>
        <v>567387.63168819866</v>
      </c>
      <c r="BG46" s="4">
        <f t="shared" si="33"/>
        <v>573061.50800508063</v>
      </c>
      <c r="BH46" s="4">
        <f t="shared" si="33"/>
        <v>578792.1230851314</v>
      </c>
      <c r="BI46" s="4">
        <f t="shared" si="33"/>
        <v>584580.04431598273</v>
      </c>
      <c r="BJ46" s="4">
        <f t="shared" si="33"/>
        <v>590425.84475914261</v>
      </c>
      <c r="BK46" s="4">
        <f t="shared" ref="BK46:CP46" si="34">BJ46*(1+$AG$49)</f>
        <v>596330.10320673406</v>
      </c>
      <c r="BL46" s="4">
        <f t="shared" si="34"/>
        <v>602293.40423880145</v>
      </c>
      <c r="BM46" s="4">
        <f t="shared" si="34"/>
        <v>608316.33828118944</v>
      </c>
      <c r="BN46" s="4">
        <f t="shared" si="34"/>
        <v>614399.50166400138</v>
      </c>
      <c r="BO46" s="4">
        <f t="shared" si="34"/>
        <v>620543.49668064143</v>
      </c>
      <c r="BP46" s="4">
        <f t="shared" si="34"/>
        <v>626748.93164744787</v>
      </c>
      <c r="BQ46" s="4">
        <f t="shared" si="34"/>
        <v>633016.4209639224</v>
      </c>
      <c r="BR46" s="4">
        <f t="shared" si="34"/>
        <v>639346.58517356159</v>
      </c>
      <c r="BS46" s="4">
        <f t="shared" si="34"/>
        <v>645740.05102529726</v>
      </c>
      <c r="BT46" s="4">
        <f t="shared" si="34"/>
        <v>652197.4515355503</v>
      </c>
      <c r="BU46" s="4">
        <f t="shared" si="34"/>
        <v>658719.42605090584</v>
      </c>
      <c r="BV46" s="4">
        <f t="shared" si="34"/>
        <v>665306.62031141494</v>
      </c>
      <c r="BW46" s="4">
        <f t="shared" si="34"/>
        <v>671959.68651452905</v>
      </c>
      <c r="BX46" s="4">
        <f t="shared" si="34"/>
        <v>678679.28337967431</v>
      </c>
      <c r="BY46" s="4">
        <f t="shared" si="34"/>
        <v>685466.07621347101</v>
      </c>
      <c r="BZ46" s="4">
        <f t="shared" si="34"/>
        <v>692320.73697560572</v>
      </c>
      <c r="CA46" s="4">
        <f t="shared" si="34"/>
        <v>699243.94434536179</v>
      </c>
      <c r="CB46" s="4">
        <f t="shared" si="34"/>
        <v>706236.38378881547</v>
      </c>
      <c r="CC46" s="4">
        <f t="shared" si="34"/>
        <v>713298.74762670358</v>
      </c>
      <c r="CD46" s="4">
        <f t="shared" si="34"/>
        <v>720431.73510297062</v>
      </c>
      <c r="CE46" s="4">
        <f t="shared" si="34"/>
        <v>727636.05245400034</v>
      </c>
      <c r="CF46" s="4">
        <f t="shared" si="34"/>
        <v>734912.41297854029</v>
      </c>
      <c r="CG46" s="4">
        <f t="shared" si="34"/>
        <v>742261.53710832575</v>
      </c>
      <c r="CH46" s="4">
        <f t="shared" si="34"/>
        <v>749684.15247940901</v>
      </c>
      <c r="CI46" s="4">
        <f t="shared" si="34"/>
        <v>757180.99400420312</v>
      </c>
      <c r="CJ46" s="4">
        <f t="shared" si="34"/>
        <v>764752.80394424521</v>
      </c>
      <c r="CK46" s="4">
        <f t="shared" si="34"/>
        <v>772400.33198368771</v>
      </c>
      <c r="CL46" s="4">
        <f t="shared" si="34"/>
        <v>780124.33530352463</v>
      </c>
      <c r="CM46" s="4">
        <f t="shared" si="34"/>
        <v>787925.57865655993</v>
      </c>
      <c r="CN46" s="4">
        <f t="shared" si="34"/>
        <v>795804.83444312552</v>
      </c>
      <c r="CO46" s="4">
        <f t="shared" si="34"/>
        <v>803762.88278755674</v>
      </c>
      <c r="CP46" s="4">
        <f t="shared" si="34"/>
        <v>811800.51161543233</v>
      </c>
      <c r="CQ46" s="4">
        <f t="shared" ref="CQ46:DV46" si="35">CP46*(1+$AG$49)</f>
        <v>819918.51673158666</v>
      </c>
      <c r="CR46" s="4">
        <f t="shared" si="35"/>
        <v>828117.70189890254</v>
      </c>
      <c r="CS46" s="4">
        <f t="shared" si="35"/>
        <v>836398.87891789153</v>
      </c>
      <c r="CT46" s="4">
        <f t="shared" si="35"/>
        <v>844762.86770707043</v>
      </c>
      <c r="CU46" s="4">
        <f t="shared" si="35"/>
        <v>853210.49638414115</v>
      </c>
      <c r="CV46" s="4">
        <f t="shared" si="35"/>
        <v>861742.60134798253</v>
      </c>
      <c r="CW46" s="4">
        <f t="shared" si="35"/>
        <v>870360.02736146236</v>
      </c>
      <c r="CX46" s="4">
        <f t="shared" si="35"/>
        <v>879063.62763507699</v>
      </c>
      <c r="CY46" s="4">
        <f t="shared" si="35"/>
        <v>887854.26391142781</v>
      </c>
      <c r="CZ46" s="4">
        <f t="shared" si="35"/>
        <v>896732.80655054213</v>
      </c>
      <c r="DA46" s="4">
        <f t="shared" si="35"/>
        <v>905700.13461604761</v>
      </c>
      <c r="DB46" s="4">
        <f t="shared" si="35"/>
        <v>914757.13596220815</v>
      </c>
      <c r="DC46" s="4">
        <f t="shared" si="35"/>
        <v>923904.70732183021</v>
      </c>
      <c r="DD46" s="4">
        <f t="shared" si="35"/>
        <v>933143.75439504848</v>
      </c>
      <c r="DE46" s="4">
        <f t="shared" si="35"/>
        <v>942475.19193899899</v>
      </c>
      <c r="DF46" s="4">
        <f t="shared" si="35"/>
        <v>951899.94385838904</v>
      </c>
      <c r="DG46" s="4">
        <f t="shared" si="35"/>
        <v>961418.9432969729</v>
      </c>
      <c r="DH46" s="4">
        <f t="shared" si="35"/>
        <v>971033.13272994268</v>
      </c>
      <c r="DI46" s="4">
        <f t="shared" si="35"/>
        <v>980743.46405724215</v>
      </c>
      <c r="DJ46" s="4">
        <f t="shared" si="35"/>
        <v>990550.89869781455</v>
      </c>
      <c r="DK46" s="4">
        <f t="shared" si="35"/>
        <v>1000456.4076847928</v>
      </c>
      <c r="DL46" s="4">
        <f t="shared" si="35"/>
        <v>1010460.9717616407</v>
      </c>
      <c r="DM46" s="4">
        <f t="shared" si="35"/>
        <v>1020565.5814792572</v>
      </c>
      <c r="DN46" s="4">
        <f t="shared" si="35"/>
        <v>1030771.2372940498</v>
      </c>
      <c r="DO46" s="4">
        <f t="shared" si="35"/>
        <v>1041078.9496669903</v>
      </c>
      <c r="DP46" s="4">
        <f t="shared" si="35"/>
        <v>1051489.7391636602</v>
      </c>
      <c r="DQ46" s="4">
        <f t="shared" si="35"/>
        <v>1062004.6365552968</v>
      </c>
      <c r="DR46" s="4">
        <f t="shared" si="35"/>
        <v>1072624.6829208499</v>
      </c>
      <c r="DS46" s="4">
        <f t="shared" si="35"/>
        <v>1083350.9297500583</v>
      </c>
      <c r="DT46" s="4">
        <f t="shared" si="35"/>
        <v>1094184.4390475589</v>
      </c>
      <c r="DU46" s="4">
        <f t="shared" si="35"/>
        <v>1105126.2834380346</v>
      </c>
      <c r="DV46" s="4">
        <f t="shared" si="35"/>
        <v>1116177.546272415</v>
      </c>
      <c r="DW46" s="4">
        <f t="shared" ref="DW46:EU46" si="36">DV46*(1+$AG$49)</f>
        <v>1127339.3217351392</v>
      </c>
      <c r="DX46" s="4">
        <f t="shared" si="36"/>
        <v>1138612.7149524905</v>
      </c>
      <c r="DY46" s="4">
        <f t="shared" si="36"/>
        <v>1149998.8421020154</v>
      </c>
      <c r="DZ46" s="4">
        <f t="shared" si="36"/>
        <v>1161498.8305230355</v>
      </c>
      <c r="EA46" s="4">
        <f t="shared" si="36"/>
        <v>1173113.8188282659</v>
      </c>
      <c r="EB46" s="4">
        <f t="shared" si="36"/>
        <v>1184844.9570165486</v>
      </c>
      <c r="EC46" s="4">
        <f t="shared" si="36"/>
        <v>1196693.4065867141</v>
      </c>
      <c r="ED46" s="4">
        <f t="shared" si="36"/>
        <v>1208660.3406525813</v>
      </c>
      <c r="EE46" s="4">
        <f t="shared" si="36"/>
        <v>1220746.9440591072</v>
      </c>
      <c r="EF46" s="4">
        <f t="shared" si="36"/>
        <v>1232954.4134996983</v>
      </c>
      <c r="EG46" s="4">
        <f t="shared" si="36"/>
        <v>1245283.9576346953</v>
      </c>
      <c r="EH46" s="4">
        <f t="shared" si="36"/>
        <v>1257736.7972110424</v>
      </c>
      <c r="EI46" s="4">
        <f t="shared" si="36"/>
        <v>1270314.1651831528</v>
      </c>
      <c r="EJ46" s="4">
        <f t="shared" si="36"/>
        <v>1283017.3068349843</v>
      </c>
      <c r="EK46" s="4">
        <f t="shared" si="36"/>
        <v>1295847.4799033343</v>
      </c>
      <c r="EL46" s="4">
        <f t="shared" si="36"/>
        <v>1308805.9547023675</v>
      </c>
      <c r="EM46" s="4">
        <f t="shared" si="36"/>
        <v>1321894.0142493912</v>
      </c>
      <c r="EN46" s="4">
        <f t="shared" si="36"/>
        <v>1335112.9543918851</v>
      </c>
      <c r="EO46" s="4">
        <f t="shared" si="36"/>
        <v>1348464.083935804</v>
      </c>
      <c r="EP46" s="4">
        <f t="shared" si="36"/>
        <v>1361948.7247751621</v>
      </c>
      <c r="EQ46" s="4">
        <f t="shared" si="36"/>
        <v>1375568.2120229136</v>
      </c>
      <c r="ER46" s="4">
        <f t="shared" si="36"/>
        <v>1389323.8941431427</v>
      </c>
      <c r="ES46" s="4">
        <f t="shared" si="36"/>
        <v>1403217.1330845742</v>
      </c>
      <c r="ET46" s="4">
        <f t="shared" si="36"/>
        <v>1417249.3044154199</v>
      </c>
      <c r="EU46" s="4">
        <f t="shared" si="36"/>
        <v>1431421.7974595742</v>
      </c>
    </row>
    <row r="47" spans="1:151" x14ac:dyDescent="0.2">
      <c r="B47" s="2" t="s">
        <v>1</v>
      </c>
      <c r="G47" s="2">
        <v>24890</v>
      </c>
      <c r="K47" s="2">
        <v>24611</v>
      </c>
      <c r="L47" s="2">
        <f>K47*0.995</f>
        <v>24487.945</v>
      </c>
      <c r="M47" s="2">
        <f t="shared" ref="M47:N47" si="37">L47*0.995</f>
        <v>24365.505275</v>
      </c>
      <c r="N47" s="2">
        <f t="shared" si="37"/>
        <v>24243.677748624999</v>
      </c>
      <c r="W47" s="2">
        <v>25070</v>
      </c>
      <c r="X47" s="2">
        <v>24940</v>
      </c>
      <c r="Y47" s="2">
        <v>24400</v>
      </c>
      <c r="Z47" s="2">
        <f>N47</f>
        <v>24243.677748624999</v>
      </c>
      <c r="AA47" s="2">
        <f t="shared" ref="AA47:AD47" si="38">Z47*0.99</f>
        <v>24001.240971138748</v>
      </c>
      <c r="AB47" s="2">
        <f t="shared" si="38"/>
        <v>23761.228561427361</v>
      </c>
      <c r="AC47" s="2">
        <f t="shared" si="38"/>
        <v>23523.616275813085</v>
      </c>
      <c r="AD47" s="2">
        <f t="shared" si="38"/>
        <v>23288.380113054955</v>
      </c>
    </row>
    <row r="48" spans="1:151" x14ac:dyDescent="0.2">
      <c r="B48" s="2" t="s">
        <v>16</v>
      </c>
      <c r="G48" s="5">
        <f>G46/G47</f>
        <v>0.5978706307754118</v>
      </c>
      <c r="H48" s="5" t="e">
        <f t="shared" ref="H48:N48" si="39">H46/H47</f>
        <v>#DIV/0!</v>
      </c>
      <c r="I48" s="5" t="e">
        <f t="shared" si="39"/>
        <v>#DIV/0!</v>
      </c>
      <c r="J48" s="5" t="e">
        <f t="shared" si="39"/>
        <v>#DIV/0!</v>
      </c>
      <c r="K48" s="5">
        <f t="shared" si="39"/>
        <v>0.7628702612652879</v>
      </c>
      <c r="L48" s="5">
        <f t="shared" si="39"/>
        <v>0.9183920955800905</v>
      </c>
      <c r="M48" s="5">
        <f t="shared" si="39"/>
        <v>1.1068553100324019</v>
      </c>
      <c r="N48" s="5">
        <f t="shared" si="39"/>
        <v>1.2815833953082558</v>
      </c>
      <c r="O48" s="5"/>
      <c r="W48" s="5">
        <f>W46/W47</f>
        <v>0.22820103709613082</v>
      </c>
      <c r="X48" s="5">
        <f>X46/X47</f>
        <v>1.1932638331996792</v>
      </c>
      <c r="Y48" s="5">
        <f>Y46/Y47</f>
        <v>2.9868852459016395</v>
      </c>
      <c r="Z48" s="5">
        <f t="shared" ref="Z48:AD48" si="40">Z46/Z47</f>
        <v>4.0960748568657399</v>
      </c>
      <c r="AA48" s="5">
        <f t="shared" si="40"/>
        <v>6.26491550198977</v>
      </c>
      <c r="AB48" s="5">
        <f t="shared" si="40"/>
        <v>8.991719199804864</v>
      </c>
      <c r="AC48" s="5">
        <f t="shared" si="40"/>
        <v>12.885648186700969</v>
      </c>
      <c r="AD48" s="5">
        <f t="shared" si="40"/>
        <v>18.439201810812168</v>
      </c>
      <c r="AE48" s="5"/>
      <c r="AF48" s="2" t="s">
        <v>26</v>
      </c>
      <c r="AG48" s="6">
        <v>0.02</v>
      </c>
      <c r="AH48" s="5"/>
      <c r="AI48" s="5"/>
    </row>
    <row r="49" spans="1:35" x14ac:dyDescent="0.2">
      <c r="P49" s="5"/>
      <c r="Q49" s="5"/>
      <c r="R49" s="5"/>
      <c r="S49" s="5"/>
      <c r="W49" s="6"/>
      <c r="X49" s="6"/>
      <c r="Y49" s="6"/>
      <c r="Z49" s="6"/>
      <c r="AA49" s="6"/>
      <c r="AB49" s="6"/>
      <c r="AC49" s="6"/>
      <c r="AD49" s="6"/>
      <c r="AE49" s="6"/>
      <c r="AF49" s="2" t="s">
        <v>25</v>
      </c>
      <c r="AG49" s="6">
        <v>0.01</v>
      </c>
      <c r="AH49" s="6"/>
      <c r="AI49" s="6"/>
    </row>
    <row r="50" spans="1:35" s="4" customFormat="1" x14ac:dyDescent="0.2">
      <c r="B50" s="4" t="s">
        <v>17</v>
      </c>
      <c r="H50" s="7">
        <f t="shared" ref="H50:N50" si="41">H35/D35-1</f>
        <v>1.2240319834160065</v>
      </c>
      <c r="I50" s="7">
        <f t="shared" si="41"/>
        <v>0.93609271523178816</v>
      </c>
      <c r="J50" s="7">
        <f t="shared" si="41"/>
        <v>0.77944170474596208</v>
      </c>
      <c r="K50" s="7">
        <f t="shared" si="41"/>
        <v>0.69182921210259551</v>
      </c>
      <c r="L50" s="7">
        <f t="shared" si="41"/>
        <v>0.49800266311584562</v>
      </c>
      <c r="M50" s="7">
        <f t="shared" si="41"/>
        <v>0.51359671626475123</v>
      </c>
      <c r="N50" s="7">
        <f t="shared" si="41"/>
        <v>0.48508809844651823</v>
      </c>
      <c r="O50" s="7"/>
      <c r="U50" s="7">
        <f t="shared" ref="U50:AD50" si="42">U35/T35-1</f>
        <v>-6.8259385665529027E-2</v>
      </c>
      <c r="V50" s="7">
        <f t="shared" si="42"/>
        <v>0.52747252747252737</v>
      </c>
      <c r="W50" s="7">
        <f t="shared" si="42"/>
        <v>0.61714628297362117</v>
      </c>
      <c r="X50" s="7">
        <f t="shared" si="42"/>
        <v>1.2585452658115224</v>
      </c>
      <c r="Y50" s="7">
        <f t="shared" si="42"/>
        <v>1.1420340763599355</v>
      </c>
      <c r="Z50" s="7">
        <f t="shared" si="42"/>
        <v>0.5369855245714461</v>
      </c>
      <c r="AA50" s="7">
        <f t="shared" si="42"/>
        <v>0.39999999999999991</v>
      </c>
      <c r="AB50" s="7">
        <f t="shared" si="42"/>
        <v>0.39999999999999991</v>
      </c>
      <c r="AC50" s="7">
        <f t="shared" si="42"/>
        <v>0.39999999999999991</v>
      </c>
      <c r="AD50" s="7">
        <f t="shared" si="42"/>
        <v>0.39999999999999991</v>
      </c>
      <c r="AE50" s="7"/>
      <c r="AF50" s="2" t="s">
        <v>27</v>
      </c>
      <c r="AG50" s="21">
        <v>9.5000000000000001E-2</v>
      </c>
      <c r="AH50" s="7"/>
      <c r="AI50" s="7"/>
    </row>
    <row r="51" spans="1:35" x14ac:dyDescent="0.2">
      <c r="B51" s="2" t="s">
        <v>18</v>
      </c>
      <c r="D51" s="6"/>
      <c r="E51" s="6">
        <f t="shared" ref="E51:N51" si="43">E35/D35-1</f>
        <v>0.34152661582882948</v>
      </c>
      <c r="F51" s="6">
        <f t="shared" si="43"/>
        <v>0.21981236203090515</v>
      </c>
      <c r="G51" s="6">
        <f t="shared" si="43"/>
        <v>0.17830158801972584</v>
      </c>
      <c r="H51" s="6">
        <f t="shared" si="43"/>
        <v>0.1534326524343419</v>
      </c>
      <c r="I51" s="6">
        <f t="shared" si="43"/>
        <v>0.16784287616511318</v>
      </c>
      <c r="J51" s="6">
        <f t="shared" si="43"/>
        <v>0.12111624194743742</v>
      </c>
      <c r="K51" s="6">
        <f t="shared" si="43"/>
        <v>0.12028679667437903</v>
      </c>
      <c r="L51" s="6">
        <f t="shared" si="43"/>
        <v>2.1288184830466239E-2</v>
      </c>
      <c r="M51" s="6">
        <f t="shared" si="43"/>
        <v>0.17999999999999994</v>
      </c>
      <c r="N51" s="6">
        <f t="shared" si="43"/>
        <v>0.10000000000000009</v>
      </c>
      <c r="O51" s="6"/>
      <c r="AF51" s="2" t="s">
        <v>24</v>
      </c>
      <c r="AG51" s="2">
        <f>NPV(AG50,Z109:EC109)+Main!K5-Main!K6</f>
        <v>4502825.178628806</v>
      </c>
    </row>
    <row r="52" spans="1:35" x14ac:dyDescent="0.2">
      <c r="B52" s="17" t="s">
        <v>81</v>
      </c>
      <c r="C52" s="17"/>
      <c r="D52" s="17"/>
      <c r="E52" s="17"/>
      <c r="F52" s="17"/>
      <c r="K52" s="6">
        <f t="shared" ref="K52:N53" si="44">K38/G38-1</f>
        <v>0.46654411764705883</v>
      </c>
      <c r="L52" s="6" t="e">
        <f t="shared" si="44"/>
        <v>#DIV/0!</v>
      </c>
      <c r="M52" s="6" t="e">
        <f t="shared" si="44"/>
        <v>#DIV/0!</v>
      </c>
      <c r="N52" s="6" t="e">
        <f t="shared" si="44"/>
        <v>#DIV/0!</v>
      </c>
      <c r="O52" s="6"/>
      <c r="X52" s="6">
        <f t="shared" ref="X52:AD53" si="45">X38/W38-1</f>
        <v>0.18204115002043886</v>
      </c>
      <c r="Y52" s="6">
        <f t="shared" si="45"/>
        <v>0.48864553314121029</v>
      </c>
      <c r="Z52" s="6">
        <f t="shared" si="45"/>
        <v>0.38656083196530888</v>
      </c>
      <c r="AA52" s="6">
        <f t="shared" si="45"/>
        <v>0.22999999999999998</v>
      </c>
      <c r="AB52" s="6">
        <f t="shared" si="45"/>
        <v>0.22999999999999998</v>
      </c>
      <c r="AC52" s="6">
        <f t="shared" si="45"/>
        <v>0.22999999999999998</v>
      </c>
      <c r="AD52" s="6">
        <f t="shared" si="45"/>
        <v>0.22999999999999998</v>
      </c>
      <c r="AF52" s="28" t="s">
        <v>129</v>
      </c>
      <c r="AG52" s="5">
        <f>AG51/Main!K3</f>
        <v>184.54201551757401</v>
      </c>
    </row>
    <row r="53" spans="1:35" x14ac:dyDescent="0.2">
      <c r="B53" s="17" t="s">
        <v>82</v>
      </c>
      <c r="C53" s="17"/>
      <c r="D53" s="17"/>
      <c r="E53" s="17"/>
      <c r="F53" s="17"/>
      <c r="K53" s="6">
        <f t="shared" si="44"/>
        <v>0.33976833976833976</v>
      </c>
      <c r="L53" s="6" t="e">
        <f t="shared" si="44"/>
        <v>#DIV/0!</v>
      </c>
      <c r="M53" s="6" t="e">
        <f t="shared" si="44"/>
        <v>#DIV/0!</v>
      </c>
      <c r="N53" s="6" t="e">
        <f t="shared" si="44"/>
        <v>#DIV/0!</v>
      </c>
      <c r="O53" s="6"/>
      <c r="X53" s="6">
        <f t="shared" si="45"/>
        <v>8.7704918032786905E-2</v>
      </c>
      <c r="Y53" s="6">
        <f t="shared" si="45"/>
        <v>0.31537302185380556</v>
      </c>
      <c r="Z53" s="6">
        <f t="shared" si="45"/>
        <v>0.30205214551704396</v>
      </c>
      <c r="AA53" s="6">
        <f t="shared" si="45"/>
        <v>0.19999999999999996</v>
      </c>
      <c r="AB53" s="6">
        <f t="shared" si="45"/>
        <v>0.19999999999999996</v>
      </c>
      <c r="AC53" s="6">
        <f t="shared" si="45"/>
        <v>0.19999999999999996</v>
      </c>
      <c r="AD53" s="6">
        <f t="shared" si="45"/>
        <v>0.19999999999999996</v>
      </c>
      <c r="AG53" s="6">
        <f>AG52/Main!K2-1</f>
        <v>8.4263143036831245E-3</v>
      </c>
    </row>
    <row r="55" spans="1:35" s="4" customFormat="1" x14ac:dyDescent="0.2">
      <c r="B55" s="4" t="s">
        <v>19</v>
      </c>
      <c r="C55" s="7" t="e">
        <f t="shared" ref="C55:K55" si="46">C37/C35</f>
        <v>#DIV/0!</v>
      </c>
      <c r="D55" s="7">
        <f t="shared" si="46"/>
        <v>0</v>
      </c>
      <c r="E55" s="7">
        <f t="shared" si="46"/>
        <v>0</v>
      </c>
      <c r="F55" s="7">
        <f t="shared" si="46"/>
        <v>0</v>
      </c>
      <c r="G55" s="7">
        <f t="shared" si="46"/>
        <v>0.78352019659038552</v>
      </c>
      <c r="H55" s="7">
        <f t="shared" si="46"/>
        <v>1</v>
      </c>
      <c r="I55" s="7">
        <f t="shared" si="46"/>
        <v>1</v>
      </c>
      <c r="J55" s="7">
        <f t="shared" si="46"/>
        <v>1</v>
      </c>
      <c r="K55" s="7">
        <f t="shared" si="46"/>
        <v>0.60523807362353044</v>
      </c>
      <c r="L55" s="7">
        <v>0.72</v>
      </c>
      <c r="M55" s="7">
        <v>0.73</v>
      </c>
      <c r="N55" s="7">
        <v>0.75</v>
      </c>
      <c r="O55" s="7"/>
      <c r="U55" s="7">
        <f t="shared" ref="U55:Z55" si="47">U37/U35</f>
        <v>1</v>
      </c>
      <c r="V55" s="7">
        <f t="shared" si="47"/>
        <v>1</v>
      </c>
      <c r="W55" s="7">
        <f t="shared" si="47"/>
        <v>0.56928894490991322</v>
      </c>
      <c r="X55" s="7">
        <f t="shared" si="47"/>
        <v>0.72717573290436954</v>
      </c>
      <c r="Y55" s="7">
        <f t="shared" si="47"/>
        <v>0.74988697058169917</v>
      </c>
      <c r="Z55" s="7">
        <f t="shared" si="47"/>
        <v>0.70617284566140837</v>
      </c>
      <c r="AA55" s="7">
        <v>0.75</v>
      </c>
      <c r="AB55" s="7">
        <v>0.75</v>
      </c>
      <c r="AC55" s="7">
        <v>0.75</v>
      </c>
      <c r="AD55" s="7">
        <v>0.75</v>
      </c>
      <c r="AE55" s="7"/>
      <c r="AF55" s="7"/>
      <c r="AG55" s="7"/>
      <c r="AH55" s="7"/>
      <c r="AI55" s="7"/>
    </row>
    <row r="56" spans="1:35" x14ac:dyDescent="0.2">
      <c r="A56" s="4"/>
      <c r="B56" s="2" t="s">
        <v>33</v>
      </c>
      <c r="C56" s="6" t="e">
        <f t="shared" ref="C56:N56" si="48">C41/C35</f>
        <v>#DIV/0!</v>
      </c>
      <c r="D56" s="6">
        <f t="shared" si="48"/>
        <v>0</v>
      </c>
      <c r="E56" s="6">
        <f t="shared" si="48"/>
        <v>0</v>
      </c>
      <c r="F56" s="6">
        <f t="shared" si="48"/>
        <v>0</v>
      </c>
      <c r="G56" s="6">
        <f t="shared" si="48"/>
        <v>0.64924742743050223</v>
      </c>
      <c r="H56" s="6">
        <f t="shared" si="48"/>
        <v>1</v>
      </c>
      <c r="I56" s="6">
        <f t="shared" si="48"/>
        <v>1</v>
      </c>
      <c r="J56" s="6">
        <f t="shared" si="48"/>
        <v>1</v>
      </c>
      <c r="K56" s="6">
        <f t="shared" si="48"/>
        <v>0.49108074985248057</v>
      </c>
      <c r="L56" s="6">
        <f t="shared" si="48"/>
        <v>0.59349866666666662</v>
      </c>
      <c r="M56" s="6">
        <f t="shared" si="48"/>
        <v>0.62065138983050838</v>
      </c>
      <c r="N56" s="6">
        <f t="shared" si="48"/>
        <v>0.64860401602465334</v>
      </c>
      <c r="O56" s="6"/>
      <c r="U56" s="6"/>
      <c r="V56" s="6"/>
      <c r="W56" s="6">
        <f t="shared" ref="W56:AD56" si="49">W41/W35</f>
        <v>0.20675465262845702</v>
      </c>
      <c r="X56" s="6">
        <f t="shared" si="49"/>
        <v>0.54121663766783756</v>
      </c>
      <c r="Y56" s="6">
        <f t="shared" si="49"/>
        <v>0.62417526839697468</v>
      </c>
      <c r="Z56" s="6">
        <f t="shared" si="49"/>
        <v>0.59423543354007535</v>
      </c>
      <c r="AA56" s="6">
        <f t="shared" si="49"/>
        <v>0.6521406130384243</v>
      </c>
      <c r="AB56" s="6">
        <f t="shared" si="49"/>
        <v>0.6644397886978608</v>
      </c>
      <c r="AC56" s="6">
        <f t="shared" si="49"/>
        <v>0.67518602872724898</v>
      </c>
      <c r="AD56" s="6">
        <f t="shared" si="49"/>
        <v>0.68457639878166276</v>
      </c>
      <c r="AE56" s="6"/>
      <c r="AF56" s="6"/>
      <c r="AG56" s="6"/>
      <c r="AH56" s="6"/>
      <c r="AI56" s="6"/>
    </row>
    <row r="58" spans="1:35" x14ac:dyDescent="0.2">
      <c r="B58" s="2" t="s">
        <v>21</v>
      </c>
      <c r="C58" s="2">
        <f t="shared" ref="C58:K58" si="50">C59-C73</f>
        <v>0</v>
      </c>
      <c r="D58" s="2">
        <f t="shared" si="50"/>
        <v>0</v>
      </c>
      <c r="E58" s="2">
        <f t="shared" si="50"/>
        <v>0</v>
      </c>
      <c r="F58" s="2">
        <f t="shared" si="50"/>
        <v>0</v>
      </c>
      <c r="G58" s="2">
        <f t="shared" si="50"/>
        <v>44747</v>
      </c>
      <c r="H58" s="2">
        <f t="shared" si="50"/>
        <v>0</v>
      </c>
      <c r="I58" s="2">
        <f t="shared" si="50"/>
        <v>0</v>
      </c>
      <c r="J58" s="2">
        <f t="shared" si="50"/>
        <v>0</v>
      </c>
      <c r="K58" s="2">
        <f t="shared" si="50"/>
        <v>45227</v>
      </c>
      <c r="L58" s="2">
        <f>K58+L46</f>
        <v>67716.535124999995</v>
      </c>
      <c r="M58" s="2">
        <f>L58+M46</f>
        <v>94685.624020256248</v>
      </c>
      <c r="N58" s="2">
        <f>M58+N46</f>
        <v>125755.91886409829</v>
      </c>
      <c r="Y58" s="2">
        <f>Y59-Y73</f>
        <v>30502</v>
      </c>
      <c r="Z58" s="2">
        <f>N58</f>
        <v>125755.91886409829</v>
      </c>
      <c r="AA58" s="2">
        <f>Z58+AA42</f>
        <v>128271.03724138025</v>
      </c>
      <c r="AB58" s="2">
        <f>AA58+AB42</f>
        <v>130836.45798620785</v>
      </c>
      <c r="AC58" s="2">
        <f>AB58+AC42</f>
        <v>133453.18714593202</v>
      </c>
      <c r="AD58" s="2">
        <f>AC58+AD42</f>
        <v>136122.25088885066</v>
      </c>
    </row>
    <row r="59" spans="1:35" x14ac:dyDescent="0.2">
      <c r="B59" s="2" t="s">
        <v>3</v>
      </c>
      <c r="G59" s="2">
        <v>53210</v>
      </c>
      <c r="K59" s="2">
        <v>53691</v>
      </c>
      <c r="Y59" s="2">
        <f>8589+34621</f>
        <v>43210</v>
      </c>
    </row>
    <row r="60" spans="1:35" x14ac:dyDescent="0.2">
      <c r="B60" s="28" t="s">
        <v>130</v>
      </c>
      <c r="G60" s="2">
        <v>23065</v>
      </c>
      <c r="K60" s="2">
        <v>22132</v>
      </c>
    </row>
    <row r="61" spans="1:35" x14ac:dyDescent="0.2">
      <c r="B61" s="2" t="s">
        <v>58</v>
      </c>
      <c r="G61" s="2">
        <v>10080</v>
      </c>
      <c r="K61" s="2">
        <v>11333</v>
      </c>
    </row>
    <row r="62" spans="1:35" x14ac:dyDescent="0.2">
      <c r="B62" s="23" t="s">
        <v>69</v>
      </c>
      <c r="C62" s="23"/>
      <c r="D62" s="23"/>
      <c r="E62" s="23"/>
      <c r="F62" s="23"/>
      <c r="G62" s="2">
        <v>3771</v>
      </c>
      <c r="K62" s="2">
        <v>2779</v>
      </c>
    </row>
    <row r="63" spans="1:35" x14ac:dyDescent="0.2">
      <c r="B63" s="23" t="s">
        <v>71</v>
      </c>
      <c r="C63" s="23"/>
      <c r="D63" s="23"/>
      <c r="E63" s="23"/>
      <c r="F63" s="23"/>
      <c r="G63" s="2">
        <v>6283</v>
      </c>
      <c r="K63" s="2">
        <v>7136</v>
      </c>
    </row>
    <row r="64" spans="1:35" x14ac:dyDescent="0.2">
      <c r="B64" s="23" t="s">
        <v>93</v>
      </c>
      <c r="C64" s="23"/>
      <c r="D64" s="23"/>
      <c r="E64" s="23"/>
      <c r="F64" s="23"/>
      <c r="G64" s="2">
        <v>1793</v>
      </c>
      <c r="K64" s="2">
        <v>1810</v>
      </c>
    </row>
    <row r="65" spans="2:30" x14ac:dyDescent="0.2">
      <c r="B65" s="23" t="s">
        <v>94</v>
      </c>
      <c r="C65" s="23"/>
      <c r="D65" s="23"/>
      <c r="E65" s="23"/>
      <c r="F65" s="23"/>
      <c r="G65" s="2">
        <v>5188</v>
      </c>
      <c r="K65" s="2">
        <v>5498</v>
      </c>
    </row>
    <row r="66" spans="2:30" x14ac:dyDescent="0.2">
      <c r="B66" s="23" t="s">
        <v>95</v>
      </c>
      <c r="C66" s="23"/>
      <c r="D66" s="23"/>
      <c r="E66" s="23"/>
      <c r="F66" s="23"/>
      <c r="G66" s="2">
        <v>807</v>
      </c>
      <c r="K66" s="2">
        <v>769</v>
      </c>
    </row>
    <row r="67" spans="2:30" x14ac:dyDescent="0.2">
      <c r="B67" s="23" t="s">
        <v>67</v>
      </c>
      <c r="C67" s="23"/>
      <c r="D67" s="23"/>
      <c r="E67" s="23"/>
      <c r="F67" s="23"/>
      <c r="G67" s="2">
        <v>10979</v>
      </c>
      <c r="K67" s="2">
        <v>13318</v>
      </c>
    </row>
    <row r="68" spans="2:30" x14ac:dyDescent="0.2">
      <c r="B68" s="23" t="s">
        <v>96</v>
      </c>
      <c r="C68" s="23"/>
      <c r="D68" s="23"/>
      <c r="E68" s="23"/>
      <c r="F68" s="23"/>
      <c r="G68" s="2">
        <v>6425</v>
      </c>
      <c r="K68" s="2">
        <v>6788</v>
      </c>
    </row>
    <row r="69" spans="2:30" x14ac:dyDescent="0.2">
      <c r="B69" s="23" t="s">
        <v>63</v>
      </c>
      <c r="C69" s="23"/>
      <c r="D69" s="23"/>
      <c r="E69" s="23"/>
      <c r="F69" s="23"/>
      <c r="G69" s="2">
        <f>SUM(G59:G68)</f>
        <v>121601</v>
      </c>
      <c r="K69" s="2">
        <f>SUM(K59:K68)</f>
        <v>125254</v>
      </c>
    </row>
    <row r="71" spans="2:30" x14ac:dyDescent="0.2">
      <c r="B71" s="2" t="s">
        <v>23</v>
      </c>
      <c r="G71" s="2">
        <v>6310</v>
      </c>
      <c r="K71" s="2">
        <v>7331</v>
      </c>
    </row>
    <row r="72" spans="2:30" x14ac:dyDescent="0.2">
      <c r="B72" s="23" t="s">
        <v>97</v>
      </c>
      <c r="C72" s="23"/>
      <c r="D72" s="23"/>
      <c r="E72" s="23"/>
      <c r="F72" s="23"/>
      <c r="G72" s="2">
        <v>11737</v>
      </c>
      <c r="K72" s="2">
        <v>19211</v>
      </c>
    </row>
    <row r="73" spans="2:30" x14ac:dyDescent="0.2">
      <c r="B73" s="2" t="s">
        <v>4</v>
      </c>
      <c r="G73" s="2">
        <v>8463</v>
      </c>
      <c r="K73" s="2">
        <v>8464</v>
      </c>
      <c r="Y73" s="2">
        <f>8463+4245</f>
        <v>12708</v>
      </c>
    </row>
    <row r="74" spans="2:30" x14ac:dyDescent="0.2">
      <c r="B74" s="2" t="s">
        <v>59</v>
      </c>
      <c r="G74" s="2">
        <v>1519</v>
      </c>
      <c r="K74" s="2">
        <v>1521</v>
      </c>
    </row>
    <row r="75" spans="2:30" x14ac:dyDescent="0.2">
      <c r="B75" s="2" t="s">
        <v>60</v>
      </c>
      <c r="G75" s="2">
        <v>4245</v>
      </c>
      <c r="K75" s="2">
        <v>4884</v>
      </c>
    </row>
    <row r="76" spans="2:30" x14ac:dyDescent="0.2">
      <c r="B76" s="23" t="s">
        <v>98</v>
      </c>
      <c r="C76" s="23"/>
      <c r="D76" s="23"/>
      <c r="E76" s="23"/>
      <c r="F76" s="23"/>
      <c r="G76" s="2">
        <f>SUM(G71:G75)</f>
        <v>32274</v>
      </c>
      <c r="K76" s="2">
        <f>SUM(K71:K75)</f>
        <v>41411</v>
      </c>
    </row>
    <row r="77" spans="2:30" x14ac:dyDescent="0.2">
      <c r="B77" s="2" t="s">
        <v>62</v>
      </c>
      <c r="G77" s="2">
        <f>G69-G76</f>
        <v>89327</v>
      </c>
      <c r="K77" s="2">
        <f>K69-K76</f>
        <v>83843</v>
      </c>
    </row>
    <row r="78" spans="2:30" x14ac:dyDescent="0.2">
      <c r="B78" s="2" t="s">
        <v>61</v>
      </c>
      <c r="G78" s="2">
        <f>G77+G76</f>
        <v>121601</v>
      </c>
      <c r="K78" s="2">
        <f>K77+K76</f>
        <v>125254</v>
      </c>
    </row>
    <row r="80" spans="2:30" x14ac:dyDescent="0.2">
      <c r="B80" s="2" t="s">
        <v>28</v>
      </c>
      <c r="G80" s="2">
        <f t="shared" ref="G80" si="51">G46</f>
        <v>14881</v>
      </c>
      <c r="K80" s="2">
        <f t="shared" ref="K80" si="52">K46</f>
        <v>18775</v>
      </c>
      <c r="U80" s="2">
        <f t="shared" ref="U80:AD80" si="53">U46</f>
        <v>10920</v>
      </c>
      <c r="V80" s="2">
        <f t="shared" si="53"/>
        <v>16680</v>
      </c>
      <c r="W80" s="2">
        <f t="shared" si="53"/>
        <v>5721</v>
      </c>
      <c r="X80" s="2">
        <f t="shared" si="53"/>
        <v>29760</v>
      </c>
      <c r="Y80" s="2">
        <f t="shared" si="53"/>
        <v>72880</v>
      </c>
      <c r="Z80" s="2">
        <f t="shared" si="53"/>
        <v>99303.918864098276</v>
      </c>
      <c r="AA80" s="2">
        <f t="shared" si="53"/>
        <v>150365.74662707915</v>
      </c>
      <c r="AB80" s="2">
        <f t="shared" si="53"/>
        <v>213654.29506673809</v>
      </c>
      <c r="AC80" s="2">
        <f t="shared" si="53"/>
        <v>303117.0434090803</v>
      </c>
      <c r="AD80" s="2">
        <f t="shared" si="53"/>
        <v>429419.140751525</v>
      </c>
    </row>
    <row r="81" spans="1:35" x14ac:dyDescent="0.2">
      <c r="B81" s="2" t="s">
        <v>29</v>
      </c>
      <c r="G81" s="2">
        <v>14881</v>
      </c>
      <c r="K81" s="2">
        <v>18775</v>
      </c>
      <c r="W81" s="2">
        <v>4368</v>
      </c>
      <c r="X81" s="2">
        <v>29760</v>
      </c>
      <c r="Y81" s="2">
        <v>72880</v>
      </c>
    </row>
    <row r="82" spans="1:35" x14ac:dyDescent="0.2">
      <c r="B82" s="2" t="s">
        <v>65</v>
      </c>
      <c r="K82" s="2">
        <v>1474</v>
      </c>
      <c r="X82" s="2">
        <v>3549</v>
      </c>
      <c r="Y82" s="2">
        <v>4737</v>
      </c>
      <c r="Z82" s="2">
        <f>Y82*1.2</f>
        <v>5684.4</v>
      </c>
      <c r="AA82" s="2">
        <f t="shared" ref="AA82:AD82" si="54">Z82*1.2</f>
        <v>6821.28</v>
      </c>
      <c r="AB82" s="2">
        <f t="shared" si="54"/>
        <v>8185.5359999999991</v>
      </c>
      <c r="AC82" s="2">
        <f t="shared" si="54"/>
        <v>9822.6431999999986</v>
      </c>
      <c r="AD82" s="2">
        <f t="shared" si="54"/>
        <v>11787.171839999997</v>
      </c>
    </row>
    <row r="83" spans="1:35" s="4" customFormat="1" x14ac:dyDescent="0.2">
      <c r="A83" s="2"/>
      <c r="B83" s="2" t="s">
        <v>66</v>
      </c>
      <c r="C83" s="2"/>
      <c r="D83" s="2"/>
      <c r="E83" s="2"/>
      <c r="F83" s="2"/>
      <c r="K83" s="4">
        <v>611</v>
      </c>
      <c r="X83" s="2">
        <v>1508</v>
      </c>
      <c r="Y83" s="2">
        <v>1864</v>
      </c>
      <c r="Z83" s="2">
        <f>Y83*(1+Z50)</f>
        <v>2864.9410178011753</v>
      </c>
      <c r="AA83" s="2">
        <f>Z83*(1+AA50)</f>
        <v>4010.9174249216453</v>
      </c>
      <c r="AB83" s="2">
        <f>AA83*(1+AB50)</f>
        <v>5615.2843948903028</v>
      </c>
      <c r="AC83" s="2">
        <f>AB83*(1+AC50)</f>
        <v>7861.3981528464237</v>
      </c>
      <c r="AD83" s="2">
        <f>AC83*(1+AD50)</f>
        <v>11005.957413984992</v>
      </c>
      <c r="AE83" s="2"/>
      <c r="AF83" s="2"/>
      <c r="AG83" s="2"/>
      <c r="AH83" s="2"/>
      <c r="AI83" s="2"/>
    </row>
    <row r="84" spans="1:35" x14ac:dyDescent="0.2">
      <c r="B84" s="2" t="s">
        <v>67</v>
      </c>
      <c r="K84" s="2">
        <v>-2177</v>
      </c>
      <c r="X84" s="2">
        <v>-2489</v>
      </c>
      <c r="Y84" s="2">
        <v>-4477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</row>
    <row r="85" spans="1:35" x14ac:dyDescent="0.2">
      <c r="B85" s="2" t="s">
        <v>68</v>
      </c>
      <c r="K85" s="2">
        <v>175</v>
      </c>
      <c r="X85" s="2">
        <v>-238</v>
      </c>
      <c r="Y85" s="2">
        <v>-1030</v>
      </c>
      <c r="Z85" s="2">
        <v>180</v>
      </c>
      <c r="AA85" s="2">
        <v>0</v>
      </c>
      <c r="AB85" s="2">
        <v>0</v>
      </c>
      <c r="AC85" s="2">
        <v>0</v>
      </c>
      <c r="AD85" s="2">
        <v>0</v>
      </c>
    </row>
    <row r="86" spans="1:35" x14ac:dyDescent="0.2">
      <c r="B86" s="2" t="s">
        <v>12</v>
      </c>
      <c r="K86" s="2">
        <v>-98</v>
      </c>
      <c r="X86" s="2">
        <v>-278</v>
      </c>
      <c r="Y86" s="2">
        <v>-502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</row>
    <row r="87" spans="1:35" x14ac:dyDescent="0.2">
      <c r="B87" s="2" t="s">
        <v>22</v>
      </c>
      <c r="K87" s="2">
        <v>933</v>
      </c>
      <c r="X87" s="2">
        <v>-6172</v>
      </c>
      <c r="Y87" s="2">
        <v>-13063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</row>
    <row r="88" spans="1:35" x14ac:dyDescent="0.2">
      <c r="B88" s="2" t="s">
        <v>58</v>
      </c>
      <c r="K88" s="2">
        <v>-1258</v>
      </c>
      <c r="X88" s="2">
        <v>-98</v>
      </c>
      <c r="Y88" s="2">
        <v>-4781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</row>
    <row r="89" spans="1:35" x14ac:dyDescent="0.2">
      <c r="B89" s="2" t="s">
        <v>69</v>
      </c>
      <c r="K89" s="2">
        <v>560</v>
      </c>
      <c r="X89" s="2">
        <v>-1522</v>
      </c>
      <c r="Y89" s="2">
        <v>-395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</row>
    <row r="90" spans="1:35" x14ac:dyDescent="0.2">
      <c r="B90" s="2" t="s">
        <v>23</v>
      </c>
      <c r="K90" s="2">
        <v>941</v>
      </c>
      <c r="X90" s="2">
        <v>1531</v>
      </c>
      <c r="Y90" s="2">
        <v>3357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</row>
    <row r="91" spans="1:35" x14ac:dyDescent="0.2">
      <c r="B91" s="2" t="s">
        <v>70</v>
      </c>
      <c r="K91" s="2">
        <v>7128</v>
      </c>
      <c r="X91" s="2">
        <v>2025</v>
      </c>
      <c r="Y91" s="2">
        <v>4278</v>
      </c>
      <c r="Z91" s="2">
        <f>Y91*(1+Z50)</f>
        <v>6575.2240741166461</v>
      </c>
      <c r="AA91" s="2">
        <f>Z91*(1+AA50)</f>
        <v>9205.3137037633041</v>
      </c>
      <c r="AB91" s="2">
        <f>AA91*(1+AB50)</f>
        <v>12887.439185268626</v>
      </c>
      <c r="AC91" s="2">
        <f>AB91*(1+AC50)</f>
        <v>18042.414859376076</v>
      </c>
      <c r="AD91" s="2">
        <f>AC91*(1+AD50)</f>
        <v>25259.380803126507</v>
      </c>
    </row>
    <row r="92" spans="1:35" x14ac:dyDescent="0.2">
      <c r="B92" s="2" t="s">
        <v>60</v>
      </c>
      <c r="K92" s="2">
        <v>350</v>
      </c>
      <c r="X92" s="2">
        <v>514</v>
      </c>
      <c r="Y92" s="2">
        <v>1221</v>
      </c>
      <c r="Z92" s="2">
        <f>Y92*(1+Z50)</f>
        <v>1876.6593255017358</v>
      </c>
      <c r="AA92" s="2">
        <f>Z92*(1+AA50)</f>
        <v>2627.3230557024299</v>
      </c>
      <c r="AB92" s="2">
        <f>AA92*(1+AB50)</f>
        <v>3678.2522779834017</v>
      </c>
      <c r="AC92" s="2">
        <f>AB92*(1+AC50)</f>
        <v>5149.5531891767623</v>
      </c>
      <c r="AD92" s="2">
        <f>AC92*(1+AD50)</f>
        <v>7209.3744648474667</v>
      </c>
    </row>
    <row r="93" spans="1:35" x14ac:dyDescent="0.2">
      <c r="B93" s="23" t="s">
        <v>101</v>
      </c>
      <c r="C93" s="23"/>
      <c r="D93" s="23"/>
      <c r="E93" s="23"/>
      <c r="F93" s="23"/>
      <c r="K93" s="2">
        <f>SUM(K59:K62)-SUM(K71:K72)</f>
        <v>63393</v>
      </c>
      <c r="X93" s="2">
        <f>SUM(X59:X62)-SUM(X71:X72)</f>
        <v>0</v>
      </c>
      <c r="Y93" s="2">
        <f t="shared" ref="Y93:AD93" si="55">SUM(Y59:Y62)-SUM(Y71:Y72)</f>
        <v>43210</v>
      </c>
      <c r="Z93" s="2">
        <f t="shared" si="55"/>
        <v>0</v>
      </c>
      <c r="AA93" s="2">
        <f t="shared" si="55"/>
        <v>0</v>
      </c>
      <c r="AB93" s="2">
        <f t="shared" si="55"/>
        <v>0</v>
      </c>
      <c r="AC93" s="2">
        <f t="shared" si="55"/>
        <v>0</v>
      </c>
      <c r="AD93" s="2">
        <f t="shared" si="55"/>
        <v>0</v>
      </c>
    </row>
    <row r="94" spans="1:35" x14ac:dyDescent="0.2">
      <c r="B94" s="2" t="s">
        <v>41</v>
      </c>
      <c r="G94" s="2">
        <f>SUM(G81:G92)</f>
        <v>14881</v>
      </c>
      <c r="K94" s="2">
        <f>SUM(K81:K92)</f>
        <v>27414</v>
      </c>
      <c r="U94" s="2">
        <v>5822</v>
      </c>
      <c r="V94" s="2">
        <v>9108</v>
      </c>
      <c r="W94" s="2">
        <v>5641</v>
      </c>
      <c r="X94" s="2">
        <f>SUM(X81:X92)</f>
        <v>28090</v>
      </c>
      <c r="Y94" s="2">
        <f>SUM(Y81:Y92)</f>
        <v>64089</v>
      </c>
      <c r="Z94" s="2">
        <f>SUM(Z82:Z92,Z80)</f>
        <v>116485.14328151783</v>
      </c>
      <c r="AA94" s="2">
        <f t="shared" ref="AA94:AD94" si="56">SUM(AA82:AA92,AA80)</f>
        <v>173030.58081146653</v>
      </c>
      <c r="AB94" s="2">
        <f t="shared" si="56"/>
        <v>244020.80692488042</v>
      </c>
      <c r="AC94" s="2">
        <f t="shared" si="56"/>
        <v>343993.05281047954</v>
      </c>
      <c r="AD94" s="2">
        <f t="shared" si="56"/>
        <v>484681.02527348395</v>
      </c>
    </row>
    <row r="96" spans="1:35" x14ac:dyDescent="0.2">
      <c r="B96" s="23" t="s">
        <v>102</v>
      </c>
      <c r="C96" s="23"/>
      <c r="D96" s="23"/>
      <c r="E96" s="23"/>
      <c r="F96" s="23"/>
      <c r="G96" s="2">
        <v>-409</v>
      </c>
      <c r="K96" s="2">
        <v>-1279</v>
      </c>
      <c r="U96" s="2">
        <v>-1155</v>
      </c>
      <c r="V96" s="2">
        <v>-1059</v>
      </c>
      <c r="W96" s="2">
        <v>-1891</v>
      </c>
      <c r="X96" s="2">
        <v>-1069</v>
      </c>
      <c r="Y96" s="2">
        <v>-3236</v>
      </c>
      <c r="Z96" s="2">
        <f>Y96*(1+Z50)</f>
        <v>-4973.6851575131996</v>
      </c>
      <c r="AA96" s="2">
        <f>Z96*(1+AA50)</f>
        <v>-6963.1592205184788</v>
      </c>
      <c r="AB96" s="2">
        <f>AA96*(1+AB50)</f>
        <v>-9748.42290872587</v>
      </c>
      <c r="AC96" s="2">
        <f>AB96*(1+AC50)</f>
        <v>-13647.792072216218</v>
      </c>
      <c r="AD96" s="2">
        <f>AC96*(1+AD50)</f>
        <v>-19106.908901102703</v>
      </c>
    </row>
    <row r="97" spans="1:133" x14ac:dyDescent="0.2">
      <c r="B97" s="23" t="s">
        <v>103</v>
      </c>
      <c r="C97" s="23"/>
      <c r="D97" s="23"/>
      <c r="E97" s="23"/>
      <c r="F97" s="23"/>
      <c r="G97" s="23"/>
      <c r="K97" s="2">
        <f>3122+467-6546-649</f>
        <v>-3606</v>
      </c>
    </row>
    <row r="98" spans="1:133" x14ac:dyDescent="0.2">
      <c r="B98" s="23" t="s">
        <v>108</v>
      </c>
      <c r="C98" s="23"/>
      <c r="D98" s="23"/>
      <c r="E98" s="23"/>
      <c r="F98" s="23"/>
      <c r="G98" s="23"/>
      <c r="K98" s="2">
        <v>-383</v>
      </c>
    </row>
    <row r="99" spans="1:133" x14ac:dyDescent="0.2">
      <c r="B99" s="23" t="s">
        <v>104</v>
      </c>
      <c r="C99" s="23"/>
      <c r="D99" s="23"/>
      <c r="E99" s="23"/>
      <c r="F99" s="23"/>
      <c r="G99" s="2">
        <f>SUM(G96:G98)</f>
        <v>-409</v>
      </c>
      <c r="K99" s="2">
        <f>SUM(K96:K98)</f>
        <v>-5268</v>
      </c>
    </row>
    <row r="101" spans="1:133" x14ac:dyDescent="0.2">
      <c r="B101" s="23" t="s">
        <v>111</v>
      </c>
      <c r="C101" s="23"/>
      <c r="D101" s="23"/>
      <c r="E101" s="23"/>
      <c r="F101" s="23"/>
      <c r="K101" s="2">
        <f>370-1532</f>
        <v>-1162</v>
      </c>
    </row>
    <row r="102" spans="1:133" x14ac:dyDescent="0.2">
      <c r="B102" s="23" t="s">
        <v>109</v>
      </c>
      <c r="C102" s="23"/>
      <c r="D102" s="23"/>
      <c r="E102" s="23"/>
      <c r="F102" s="23"/>
      <c r="K102" s="2">
        <v>-14095</v>
      </c>
    </row>
    <row r="103" spans="1:133" x14ac:dyDescent="0.2">
      <c r="B103" s="23" t="s">
        <v>110</v>
      </c>
      <c r="C103" s="23"/>
      <c r="D103" s="23"/>
      <c r="E103" s="23"/>
      <c r="F103" s="23"/>
      <c r="K103" s="2">
        <v>-244</v>
      </c>
    </row>
    <row r="104" spans="1:133" x14ac:dyDescent="0.2">
      <c r="B104" s="23" t="s">
        <v>12</v>
      </c>
      <c r="C104" s="23"/>
      <c r="D104" s="23"/>
      <c r="E104" s="23"/>
      <c r="F104" s="23"/>
      <c r="K104" s="2">
        <v>-52</v>
      </c>
    </row>
    <row r="105" spans="1:133" x14ac:dyDescent="0.2">
      <c r="B105" s="23" t="s">
        <v>105</v>
      </c>
      <c r="C105" s="23"/>
      <c r="D105" s="23"/>
      <c r="E105" s="23"/>
      <c r="F105" s="23"/>
      <c r="K105" s="2">
        <f>SUM(K101:K104)</f>
        <v>-15553</v>
      </c>
    </row>
    <row r="106" spans="1:133" x14ac:dyDescent="0.2">
      <c r="B106" s="23" t="s">
        <v>106</v>
      </c>
      <c r="C106" s="23"/>
      <c r="D106" s="23"/>
      <c r="E106" s="23"/>
      <c r="F106" s="23"/>
    </row>
    <row r="107" spans="1:133" x14ac:dyDescent="0.2">
      <c r="B107" s="23" t="s">
        <v>107</v>
      </c>
      <c r="C107" s="23"/>
      <c r="D107" s="23"/>
      <c r="E107" s="23"/>
      <c r="F107" s="23"/>
      <c r="G107" s="2">
        <f>G94+G105+G99</f>
        <v>14472</v>
      </c>
      <c r="K107" s="2">
        <f>K94+K105+K99</f>
        <v>6593</v>
      </c>
    </row>
    <row r="109" spans="1:133" s="4" customFormat="1" x14ac:dyDescent="0.2">
      <c r="A109" s="2"/>
      <c r="B109" s="4" t="s">
        <v>42</v>
      </c>
      <c r="G109" s="4">
        <f>G94+G96</f>
        <v>14472</v>
      </c>
      <c r="K109" s="4">
        <f>K94+K96</f>
        <v>26135</v>
      </c>
      <c r="U109" s="4">
        <v>4667</v>
      </c>
      <c r="V109" s="4">
        <v>8049</v>
      </c>
      <c r="W109" s="4">
        <v>3750</v>
      </c>
      <c r="X109" s="4">
        <f t="shared" ref="X109:AD109" si="57">X94+X96</f>
        <v>27021</v>
      </c>
      <c r="Y109" s="4">
        <f t="shared" si="57"/>
        <v>60853</v>
      </c>
      <c r="Z109" s="4">
        <f t="shared" si="57"/>
        <v>111511.45812400462</v>
      </c>
      <c r="AA109" s="4">
        <f t="shared" si="57"/>
        <v>166067.42159094804</v>
      </c>
      <c r="AB109" s="4">
        <f t="shared" si="57"/>
        <v>234272.38401615457</v>
      </c>
      <c r="AC109" s="4">
        <f t="shared" si="57"/>
        <v>330345.26073826331</v>
      </c>
      <c r="AD109" s="4">
        <f t="shared" si="57"/>
        <v>465574.11637238122</v>
      </c>
      <c r="AE109" s="4">
        <f t="shared" ref="AE109:BJ109" si="58">AD109*(1+$AG$49)</f>
        <v>470229.85753610503</v>
      </c>
      <c r="AF109" s="4">
        <f t="shared" si="58"/>
        <v>474932.15611146606</v>
      </c>
      <c r="AG109" s="4">
        <f t="shared" si="58"/>
        <v>479681.47767258075</v>
      </c>
      <c r="AH109" s="4">
        <f t="shared" si="58"/>
        <v>484478.29244930658</v>
      </c>
      <c r="AI109" s="4">
        <f t="shared" si="58"/>
        <v>489323.07537379966</v>
      </c>
      <c r="AJ109" s="4">
        <f t="shared" si="58"/>
        <v>494216.30612753768</v>
      </c>
      <c r="AK109" s="4">
        <f t="shared" si="58"/>
        <v>499158.46918881306</v>
      </c>
      <c r="AL109" s="4">
        <f t="shared" si="58"/>
        <v>504150.05388070119</v>
      </c>
      <c r="AM109" s="4">
        <f t="shared" si="58"/>
        <v>509191.5544195082</v>
      </c>
      <c r="AN109" s="4">
        <f t="shared" si="58"/>
        <v>514283.4699637033</v>
      </c>
      <c r="AO109" s="4">
        <f t="shared" si="58"/>
        <v>519426.30466334033</v>
      </c>
      <c r="AP109" s="4">
        <f t="shared" si="58"/>
        <v>524620.56770997378</v>
      </c>
      <c r="AQ109" s="4">
        <f t="shared" si="58"/>
        <v>529866.77338707354</v>
      </c>
      <c r="AR109" s="4">
        <f t="shared" si="58"/>
        <v>535165.44112094434</v>
      </c>
      <c r="AS109" s="4">
        <f t="shared" si="58"/>
        <v>540517.09553215373</v>
      </c>
      <c r="AT109" s="4">
        <f t="shared" si="58"/>
        <v>545922.26648747525</v>
      </c>
      <c r="AU109" s="4">
        <f t="shared" si="58"/>
        <v>551381.48915235</v>
      </c>
      <c r="AV109" s="4">
        <f t="shared" si="58"/>
        <v>556895.30404387345</v>
      </c>
      <c r="AW109" s="4">
        <f t="shared" si="58"/>
        <v>562464.25708431215</v>
      </c>
      <c r="AX109" s="4">
        <f t="shared" si="58"/>
        <v>568088.89965515526</v>
      </c>
      <c r="AY109" s="4">
        <f t="shared" si="58"/>
        <v>573769.78865170677</v>
      </c>
      <c r="AZ109" s="4">
        <f t="shared" si="58"/>
        <v>579507.48653822381</v>
      </c>
      <c r="BA109" s="4">
        <f t="shared" si="58"/>
        <v>585302.56140360609</v>
      </c>
      <c r="BB109" s="4">
        <f t="shared" si="58"/>
        <v>591155.5870176421</v>
      </c>
      <c r="BC109" s="4">
        <f t="shared" si="58"/>
        <v>597067.14288781851</v>
      </c>
      <c r="BD109" s="4">
        <f t="shared" si="58"/>
        <v>603037.81431669672</v>
      </c>
      <c r="BE109" s="4">
        <f t="shared" si="58"/>
        <v>609068.19245986373</v>
      </c>
      <c r="BF109" s="4">
        <f t="shared" si="58"/>
        <v>615158.87438446237</v>
      </c>
      <c r="BG109" s="4">
        <f t="shared" si="58"/>
        <v>621310.46312830702</v>
      </c>
      <c r="BH109" s="4">
        <f t="shared" si="58"/>
        <v>627523.56775959011</v>
      </c>
      <c r="BI109" s="4">
        <f t="shared" si="58"/>
        <v>633798.80343718606</v>
      </c>
      <c r="BJ109" s="4">
        <f t="shared" si="58"/>
        <v>640136.79147155792</v>
      </c>
      <c r="BK109" s="4">
        <f t="shared" ref="BK109:CP109" si="59">BJ109*(1+$AG$49)</f>
        <v>646538.15938627347</v>
      </c>
      <c r="BL109" s="4">
        <f t="shared" si="59"/>
        <v>653003.54098013625</v>
      </c>
      <c r="BM109" s="4">
        <f t="shared" si="59"/>
        <v>659533.57638993766</v>
      </c>
      <c r="BN109" s="4">
        <f t="shared" si="59"/>
        <v>666128.91215383704</v>
      </c>
      <c r="BO109" s="4">
        <f t="shared" si="59"/>
        <v>672790.20127537544</v>
      </c>
      <c r="BP109" s="4">
        <f t="shared" si="59"/>
        <v>679518.1032881292</v>
      </c>
      <c r="BQ109" s="4">
        <f t="shared" si="59"/>
        <v>686313.28432101046</v>
      </c>
      <c r="BR109" s="4">
        <f t="shared" si="59"/>
        <v>693176.41716422059</v>
      </c>
      <c r="BS109" s="4">
        <f t="shared" si="59"/>
        <v>700108.18133586284</v>
      </c>
      <c r="BT109" s="4">
        <f t="shared" si="59"/>
        <v>707109.26314922143</v>
      </c>
      <c r="BU109" s="4">
        <f t="shared" si="59"/>
        <v>714180.35578071361</v>
      </c>
      <c r="BV109" s="4">
        <f t="shared" si="59"/>
        <v>721322.15933852072</v>
      </c>
      <c r="BW109" s="4">
        <f t="shared" si="59"/>
        <v>728535.38093190594</v>
      </c>
      <c r="BX109" s="4">
        <f t="shared" si="59"/>
        <v>735820.73474122502</v>
      </c>
      <c r="BY109" s="4">
        <f t="shared" si="59"/>
        <v>743178.94208863727</v>
      </c>
      <c r="BZ109" s="4">
        <f t="shared" si="59"/>
        <v>750610.7315095237</v>
      </c>
      <c r="CA109" s="4">
        <f t="shared" si="59"/>
        <v>758116.83882461896</v>
      </c>
      <c r="CB109" s="4">
        <f t="shared" si="59"/>
        <v>765698.00721286517</v>
      </c>
      <c r="CC109" s="4">
        <f t="shared" si="59"/>
        <v>773354.98728499387</v>
      </c>
      <c r="CD109" s="4">
        <f t="shared" si="59"/>
        <v>781088.53715784382</v>
      </c>
      <c r="CE109" s="4">
        <f t="shared" si="59"/>
        <v>788899.42252942221</v>
      </c>
      <c r="CF109" s="4">
        <f t="shared" si="59"/>
        <v>796788.41675471643</v>
      </c>
      <c r="CG109" s="4">
        <f t="shared" si="59"/>
        <v>804756.30092226365</v>
      </c>
      <c r="CH109" s="4">
        <f t="shared" si="59"/>
        <v>812803.86393148627</v>
      </c>
      <c r="CI109" s="4">
        <f t="shared" si="59"/>
        <v>820931.90257080109</v>
      </c>
      <c r="CJ109" s="4">
        <f t="shared" si="59"/>
        <v>829141.2215965091</v>
      </c>
      <c r="CK109" s="4">
        <f t="shared" si="59"/>
        <v>837432.6338124742</v>
      </c>
      <c r="CL109" s="4">
        <f t="shared" si="59"/>
        <v>845806.9601505989</v>
      </c>
      <c r="CM109" s="4">
        <f t="shared" si="59"/>
        <v>854265.02975210489</v>
      </c>
      <c r="CN109" s="4">
        <f t="shared" si="59"/>
        <v>862807.68004962592</v>
      </c>
      <c r="CO109" s="4">
        <f t="shared" si="59"/>
        <v>871435.75685012224</v>
      </c>
      <c r="CP109" s="4">
        <f t="shared" si="59"/>
        <v>880150.1144186235</v>
      </c>
      <c r="CQ109" s="4">
        <f t="shared" ref="CQ109:DV109" si="60">CP109*(1+$AG$49)</f>
        <v>888951.61556280975</v>
      </c>
      <c r="CR109" s="4">
        <f t="shared" si="60"/>
        <v>897841.13171843789</v>
      </c>
      <c r="CS109" s="4">
        <f t="shared" si="60"/>
        <v>906819.54303562222</v>
      </c>
      <c r="CT109" s="4">
        <f t="shared" si="60"/>
        <v>915887.73846597841</v>
      </c>
      <c r="CU109" s="4">
        <f t="shared" si="60"/>
        <v>925046.61585063825</v>
      </c>
      <c r="CV109" s="4">
        <f t="shared" si="60"/>
        <v>934297.08200914459</v>
      </c>
      <c r="CW109" s="4">
        <f t="shared" si="60"/>
        <v>943640.05282923602</v>
      </c>
      <c r="CX109" s="4">
        <f t="shared" si="60"/>
        <v>953076.45335752843</v>
      </c>
      <c r="CY109" s="4">
        <f t="shared" si="60"/>
        <v>962607.2178911037</v>
      </c>
      <c r="CZ109" s="4">
        <f t="shared" si="60"/>
        <v>972233.29007001477</v>
      </c>
      <c r="DA109" s="4">
        <f t="shared" si="60"/>
        <v>981955.62297071493</v>
      </c>
      <c r="DB109" s="4">
        <f t="shared" si="60"/>
        <v>991775.17920042214</v>
      </c>
      <c r="DC109" s="4">
        <f t="shared" si="60"/>
        <v>1001692.9309924264</v>
      </c>
      <c r="DD109" s="4">
        <f t="shared" si="60"/>
        <v>1011709.8603023506</v>
      </c>
      <c r="DE109" s="4">
        <f t="shared" si="60"/>
        <v>1021826.9589053742</v>
      </c>
      <c r="DF109" s="4">
        <f t="shared" si="60"/>
        <v>1032045.2284944279</v>
      </c>
      <c r="DG109" s="4">
        <f t="shared" si="60"/>
        <v>1042365.6807793721</v>
      </c>
      <c r="DH109" s="4">
        <f t="shared" si="60"/>
        <v>1052789.3375871659</v>
      </c>
      <c r="DI109" s="4">
        <f t="shared" si="60"/>
        <v>1063317.2309630376</v>
      </c>
      <c r="DJ109" s="4">
        <f t="shared" si="60"/>
        <v>1073950.4032726679</v>
      </c>
      <c r="DK109" s="4">
        <f t="shared" si="60"/>
        <v>1084689.9073053945</v>
      </c>
      <c r="DL109" s="4">
        <f t="shared" si="60"/>
        <v>1095536.8063784484</v>
      </c>
      <c r="DM109" s="4">
        <f t="shared" si="60"/>
        <v>1106492.1744422328</v>
      </c>
      <c r="DN109" s="4">
        <f t="shared" si="60"/>
        <v>1117557.0961866551</v>
      </c>
      <c r="DO109" s="4">
        <f t="shared" si="60"/>
        <v>1128732.6671485216</v>
      </c>
      <c r="DP109" s="4">
        <f t="shared" si="60"/>
        <v>1140019.993820007</v>
      </c>
      <c r="DQ109" s="4">
        <f t="shared" si="60"/>
        <v>1151420.1937582071</v>
      </c>
      <c r="DR109" s="4">
        <f t="shared" si="60"/>
        <v>1162934.3956957893</v>
      </c>
      <c r="DS109" s="4">
        <f t="shared" si="60"/>
        <v>1174563.7396527471</v>
      </c>
      <c r="DT109" s="4">
        <f t="shared" si="60"/>
        <v>1186309.3770492745</v>
      </c>
      <c r="DU109" s="4">
        <f t="shared" si="60"/>
        <v>1198172.4708197673</v>
      </c>
      <c r="DV109" s="4">
        <f t="shared" si="60"/>
        <v>1210154.195527965</v>
      </c>
      <c r="DW109" s="4">
        <f t="shared" ref="DW109:EC109" si="61">DV109*(1+$AG$49)</f>
        <v>1222255.7374832446</v>
      </c>
      <c r="DX109" s="4">
        <f t="shared" si="61"/>
        <v>1234478.2948580771</v>
      </c>
      <c r="DY109" s="4">
        <f t="shared" si="61"/>
        <v>1246823.0778066579</v>
      </c>
      <c r="DZ109" s="4">
        <f t="shared" si="61"/>
        <v>1259291.3085847246</v>
      </c>
      <c r="EA109" s="4">
        <f t="shared" si="61"/>
        <v>1271884.2216705717</v>
      </c>
      <c r="EB109" s="4">
        <f t="shared" si="61"/>
        <v>1284603.0638872774</v>
      </c>
      <c r="EC109" s="4">
        <f t="shared" si="61"/>
        <v>1297449.0945261503</v>
      </c>
    </row>
  </sheetData>
  <hyperlinks>
    <hyperlink ref="A1" location="Sheet1!A1" display="Main" xr:uid="{B4B00122-8A85-4496-941B-16C16C07E4D3}"/>
  </hyperlink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FE010-09A7-49CF-8E22-77AB92224E7C}">
  <dimension ref="A1:E2"/>
  <sheetViews>
    <sheetView zoomScaleNormal="100" workbookViewId="0">
      <pane ySplit="2" topLeftCell="A3" activePane="bottomLeft" state="frozen"/>
      <selection pane="bottomLeft" activeCell="D23" sqref="D23"/>
    </sheetView>
  </sheetViews>
  <sheetFormatPr defaultRowHeight="12.75" x14ac:dyDescent="0.2"/>
  <cols>
    <col min="1" max="1" width="5" style="13" bestFit="1" customWidth="1"/>
    <col min="2" max="16384" width="9.140625" style="13"/>
  </cols>
  <sheetData>
    <row r="1" spans="1:5" x14ac:dyDescent="0.2">
      <c r="A1" s="14" t="s">
        <v>34</v>
      </c>
    </row>
    <row r="2" spans="1:5" x14ac:dyDescent="0.2">
      <c r="B2" s="13" t="s">
        <v>76</v>
      </c>
      <c r="C2" s="13" t="s">
        <v>77</v>
      </c>
      <c r="D2" s="13" t="s">
        <v>78</v>
      </c>
      <c r="E2" s="13" t="s">
        <v>79</v>
      </c>
    </row>
  </sheetData>
  <hyperlinks>
    <hyperlink ref="A1" location="Main!A1" display="Main" xr:uid="{4A696BB3-0AB0-4B53-8219-D606EFC1494A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Literature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2025-04-07T17:41:16Z</dcterms:created>
  <dcterms:modified xsi:type="dcterms:W3CDTF">2025-08-22T10:53:53Z</dcterms:modified>
</cp:coreProperties>
</file>