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5458DC25-C0C7-48F6-B24A-7752681371CB}" xr6:coauthVersionLast="47" xr6:coauthVersionMax="47" xr10:uidLastSave="{00000000-0000-0000-0000-000000000000}"/>
  <bookViews>
    <workbookView xWindow="1170" yWindow="480" windowWidth="22200" windowHeight="14805" xr2:uid="{3429F372-D7C1-4064-99DD-3C34B787F131}"/>
  </bookViews>
  <sheets>
    <sheet name="Main" sheetId="1" r:id="rId1"/>
    <sheet name="Todo" sheetId="7" r:id="rId2"/>
    <sheet name="Drugs" sheetId="6" r:id="rId3"/>
    <sheet name="Diseases" sheetId="9" r:id="rId4"/>
    <sheet name="Private" sheetId="5" r:id="rId5"/>
    <sheet name="Funds" sheetId="8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9" l="1"/>
  <c r="E36" i="9"/>
  <c r="E47" i="9"/>
  <c r="E48" i="9"/>
  <c r="E49" i="9"/>
  <c r="E50" i="9"/>
  <c r="E51" i="9"/>
  <c r="E46" i="9"/>
  <c r="E45" i="9"/>
  <c r="F45" i="9" s="1"/>
  <c r="D46" i="9"/>
  <c r="C46" i="9"/>
  <c r="D47" i="9"/>
  <c r="C47" i="9"/>
  <c r="G47" i="9" s="1"/>
  <c r="C51" i="9"/>
  <c r="D51" i="9"/>
  <c r="D50" i="9"/>
  <c r="C50" i="9"/>
  <c r="G50" i="9" s="1"/>
  <c r="D49" i="9"/>
  <c r="C49" i="9"/>
  <c r="D48" i="9"/>
  <c r="C48" i="9"/>
  <c r="G48" i="9" s="1"/>
  <c r="D45" i="9"/>
  <c r="C45" i="9"/>
  <c r="G45" i="9" s="1"/>
  <c r="E42" i="9"/>
  <c r="C42" i="9"/>
  <c r="D42" i="9"/>
  <c r="G46" i="9" l="1"/>
  <c r="H51" i="9"/>
  <c r="F49" i="9"/>
  <c r="F51" i="9"/>
  <c r="F48" i="9"/>
  <c r="F50" i="9"/>
  <c r="G49" i="9"/>
  <c r="F47" i="9"/>
  <c r="H49" i="9"/>
  <c r="G51" i="9"/>
  <c r="H47" i="9"/>
  <c r="F46" i="9"/>
  <c r="H48" i="9"/>
  <c r="H45" i="9"/>
  <c r="H50" i="9"/>
  <c r="H46" i="9"/>
  <c r="D36" i="9"/>
  <c r="D53" i="9" s="1"/>
  <c r="C53" i="9" s="1"/>
  <c r="F53" i="9" l="1"/>
  <c r="J11" i="1"/>
  <c r="G11" i="1"/>
  <c r="H11" i="1" l="1"/>
  <c r="K112" i="1"/>
  <c r="K110" i="1" l="1"/>
  <c r="J6" i="1" l="1"/>
  <c r="G6" i="1"/>
  <c r="F6" i="1"/>
  <c r="G4" i="1" l="1"/>
  <c r="J4" i="1"/>
  <c r="B2" i="1" l="1"/>
  <c r="O39" i="1" l="1"/>
  <c r="N39" i="1"/>
  <c r="M39" i="1"/>
  <c r="K39" i="1"/>
  <c r="J39" i="1"/>
  <c r="H39" i="1"/>
  <c r="G39" i="1"/>
  <c r="F39" i="1" l="1"/>
  <c r="L39" i="1" s="1"/>
  <c r="O111" i="1" l="1"/>
  <c r="N111" i="1"/>
  <c r="M111" i="1"/>
  <c r="K111" i="1"/>
  <c r="J46" i="1" l="1"/>
  <c r="F46" i="1" s="1"/>
  <c r="H46" i="1"/>
  <c r="G46" i="1"/>
  <c r="O4" i="1" l="1"/>
  <c r="N4" i="1"/>
  <c r="M4" i="1"/>
  <c r="K4" i="1"/>
  <c r="K46" i="1" l="1"/>
  <c r="L46" i="1" s="1"/>
  <c r="F113" i="1"/>
  <c r="J111" i="1"/>
  <c r="F111" i="1" s="1"/>
  <c r="H111" i="1"/>
  <c r="G111" i="1"/>
  <c r="L111" i="1" l="1"/>
  <c r="J112" i="1"/>
  <c r="F112" i="1" s="1"/>
  <c r="H112" i="1"/>
  <c r="G112" i="1"/>
  <c r="L112" i="1" l="1"/>
  <c r="O110" i="1"/>
  <c r="N110" i="1"/>
  <c r="M110" i="1"/>
  <c r="J110" i="1"/>
  <c r="H110" i="1"/>
  <c r="G110" i="1"/>
  <c r="F110" i="1"/>
  <c r="L110" i="1" l="1"/>
  <c r="O15" i="1"/>
  <c r="N15" i="1"/>
  <c r="M15" i="1"/>
  <c r="K15" i="1"/>
  <c r="J15" i="1"/>
  <c r="H15" i="1"/>
  <c r="G15" i="1"/>
  <c r="L15" i="1" l="1"/>
  <c r="O18" i="1"/>
  <c r="N18" i="1"/>
  <c r="M18" i="1"/>
  <c r="K18" i="1"/>
  <c r="J18" i="1"/>
  <c r="H18" i="1"/>
  <c r="G18" i="1"/>
  <c r="L18" i="1" l="1"/>
  <c r="H4" i="1"/>
  <c r="L4" i="1" l="1"/>
  <c r="O6" i="1"/>
  <c r="N6" i="1"/>
  <c r="M6" i="1"/>
  <c r="K6" i="1"/>
  <c r="H6" i="1"/>
  <c r="L6" i="1" l="1"/>
  <c r="O11" i="1"/>
  <c r="N11" i="1"/>
  <c r="M11" i="1"/>
  <c r="K11" i="1"/>
  <c r="L11" i="1" l="1"/>
  <c r="F18" i="1"/>
  <c r="F15" i="1"/>
  <c r="F11" i="1"/>
  <c r="F4" i="1" l="1"/>
  <c r="L2" i="1" l="1"/>
  <c r="F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l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l="1"/>
  <c r="B125" i="1" s="1"/>
  <c r="B126" i="1" s="1"/>
  <c r="B127" i="1" s="1"/>
  <c r="B128" i="1" s="1"/>
  <c r="B129" i="1" s="1"/>
  <c r="B130" i="1" s="1"/>
  <c r="B131" i="1" s="1"/>
</calcChain>
</file>

<file path=xl/sharedStrings.xml><?xml version="1.0" encoding="utf-8"?>
<sst xmlns="http://schemas.openxmlformats.org/spreadsheetml/2006/main" count="857" uniqueCount="678">
  <si>
    <t>Name</t>
  </si>
  <si>
    <t>Ticker</t>
  </si>
  <si>
    <t>Price</t>
  </si>
  <si>
    <t>MC</t>
  </si>
  <si>
    <t>NC</t>
  </si>
  <si>
    <t>EV</t>
  </si>
  <si>
    <t>Update</t>
  </si>
  <si>
    <t>SO</t>
  </si>
  <si>
    <t>NPV</t>
  </si>
  <si>
    <t>Upside</t>
  </si>
  <si>
    <t>ROIC</t>
  </si>
  <si>
    <t>Terminal</t>
  </si>
  <si>
    <t>Discount</t>
  </si>
  <si>
    <t>Founded</t>
  </si>
  <si>
    <t>Eli Lilly</t>
  </si>
  <si>
    <t>LLY</t>
  </si>
  <si>
    <t>Main</t>
  </si>
  <si>
    <t>Brand</t>
  </si>
  <si>
    <t>Generic</t>
  </si>
  <si>
    <t>DBID</t>
  </si>
  <si>
    <t>Target</t>
  </si>
  <si>
    <t>MOA</t>
  </si>
  <si>
    <t>MW</t>
  </si>
  <si>
    <t>FDA</t>
  </si>
  <si>
    <t>Class</t>
  </si>
  <si>
    <t>AA</t>
  </si>
  <si>
    <t>Johnson &amp; Johnson</t>
  </si>
  <si>
    <t>AbbVie</t>
  </si>
  <si>
    <t>Novo Nordisk</t>
  </si>
  <si>
    <t>Roche</t>
  </si>
  <si>
    <t>Novartis</t>
  </si>
  <si>
    <t>AstraZeneca</t>
  </si>
  <si>
    <t>Merck</t>
  </si>
  <si>
    <t>Amgen</t>
  </si>
  <si>
    <t>Pfizer</t>
  </si>
  <si>
    <t>Sanofi</t>
  </si>
  <si>
    <t>Bristol-Myers Squibb</t>
  </si>
  <si>
    <t>CSL</t>
  </si>
  <si>
    <t>GlaxoSmithKline</t>
  </si>
  <si>
    <t>Zoetis</t>
  </si>
  <si>
    <t>Regeneron</t>
  </si>
  <si>
    <t>Chugai</t>
  </si>
  <si>
    <t>Vertex</t>
  </si>
  <si>
    <t>Gilead</t>
  </si>
  <si>
    <t>Thermo Fisher</t>
  </si>
  <si>
    <t>Samsung Biologics</t>
  </si>
  <si>
    <t>Jiangsu Hengrui Medicine</t>
  </si>
  <si>
    <t>Lonza</t>
  </si>
  <si>
    <t>Sun Pharmaceutical</t>
  </si>
  <si>
    <t>Takeda</t>
  </si>
  <si>
    <t>Daiichi Sankyo</t>
  </si>
  <si>
    <t>Alnylam Pharamceuticals</t>
  </si>
  <si>
    <t>UCB</t>
  </si>
  <si>
    <t>Galderma Group</t>
  </si>
  <si>
    <t>Argenx</t>
  </si>
  <si>
    <t>DexCom</t>
  </si>
  <si>
    <t>BeOne Medicines</t>
  </si>
  <si>
    <t>Novozymes</t>
  </si>
  <si>
    <t>Bayer</t>
  </si>
  <si>
    <t>Celltrion</t>
  </si>
  <si>
    <t>Sandoz Group</t>
  </si>
  <si>
    <t>Hansoh Pharma</t>
  </si>
  <si>
    <t>Otsuka Holdings</t>
  </si>
  <si>
    <t>LabCorp</t>
  </si>
  <si>
    <t>Divis Laboratories</t>
  </si>
  <si>
    <t>Royalty Pharma</t>
  </si>
  <si>
    <t>Summit Therapeutics</t>
  </si>
  <si>
    <t>Insmed</t>
  </si>
  <si>
    <t>Innovent Biologics</t>
  </si>
  <si>
    <t>Biogen</t>
  </si>
  <si>
    <t>Astellas Pharma</t>
  </si>
  <si>
    <t>Alteogen</t>
  </si>
  <si>
    <t>bioMerieux</t>
  </si>
  <si>
    <t>Sichuan Biokin</t>
  </si>
  <si>
    <t>Teva</t>
  </si>
  <si>
    <t>Illumina</t>
  </si>
  <si>
    <t>Akeso</t>
  </si>
  <si>
    <t>WuXi Biologics</t>
  </si>
  <si>
    <t>ICON plc</t>
  </si>
  <si>
    <t>Shionogi</t>
  </si>
  <si>
    <t>Baxter</t>
  </si>
  <si>
    <t>Genmab</t>
  </si>
  <si>
    <t>Cipla</t>
  </si>
  <si>
    <t>Torrent Pharmaceuticals</t>
  </si>
  <si>
    <t>United Therapeutics</t>
  </si>
  <si>
    <t>Incyte</t>
  </si>
  <si>
    <t>Moderna</t>
  </si>
  <si>
    <t>Recordati</t>
  </si>
  <si>
    <t>Neurocrine Biosciences</t>
  </si>
  <si>
    <t>Medpace</t>
  </si>
  <si>
    <t>CSPC Pharmaceutical</t>
  </si>
  <si>
    <t>Dr Reddy's Laboratories</t>
  </si>
  <si>
    <t>Exelixis</t>
  </si>
  <si>
    <t>Mankind Pharma</t>
  </si>
  <si>
    <t>Revvity</t>
  </si>
  <si>
    <t>Zydus Lifesciences</t>
  </si>
  <si>
    <t>BioMarin</t>
  </si>
  <si>
    <t>ProKidney</t>
  </si>
  <si>
    <t>Qiagen</t>
  </si>
  <si>
    <t>Viatris</t>
  </si>
  <si>
    <t>Ipsen</t>
  </si>
  <si>
    <t>Lupin Limited</t>
  </si>
  <si>
    <t>Huadong Medicine</t>
  </si>
  <si>
    <t>Orion Corporation</t>
  </si>
  <si>
    <t>Swedish Orphan Biovitrum</t>
  </si>
  <si>
    <t>AMGN</t>
  </si>
  <si>
    <t>GILD</t>
  </si>
  <si>
    <t>BIIB</t>
  </si>
  <si>
    <t>MRNA</t>
  </si>
  <si>
    <t>REGN</t>
  </si>
  <si>
    <t>VRTX</t>
  </si>
  <si>
    <t>ILMN</t>
  </si>
  <si>
    <t>CRSP</t>
  </si>
  <si>
    <t>JNJ</t>
  </si>
  <si>
    <t>ABBV</t>
  </si>
  <si>
    <t>NVO</t>
  </si>
  <si>
    <t>ROG.SW</t>
  </si>
  <si>
    <t>NVS</t>
  </si>
  <si>
    <t>AZN</t>
  </si>
  <si>
    <t>MRK</t>
  </si>
  <si>
    <t>TMO</t>
  </si>
  <si>
    <t>PFE</t>
  </si>
  <si>
    <t>SNY</t>
  </si>
  <si>
    <t>BMY</t>
  </si>
  <si>
    <t>CSL.AX</t>
  </si>
  <si>
    <t>4519.T</t>
  </si>
  <si>
    <t>GSK</t>
  </si>
  <si>
    <t>ZTS</t>
  </si>
  <si>
    <t>207940.KS</t>
  </si>
  <si>
    <t>600276.SS</t>
  </si>
  <si>
    <t>LONN.SW</t>
  </si>
  <si>
    <t>SUNPHARMA.NS</t>
  </si>
  <si>
    <t>TAK</t>
  </si>
  <si>
    <t>4568.T</t>
  </si>
  <si>
    <t>UCB.VI</t>
  </si>
  <si>
    <t>GALD.SW</t>
  </si>
  <si>
    <t>ARGX</t>
  </si>
  <si>
    <t>DXCM</t>
  </si>
  <si>
    <t>ONC</t>
  </si>
  <si>
    <t>ALNY</t>
  </si>
  <si>
    <t>NZYM.VI</t>
  </si>
  <si>
    <t>BAYN.DE</t>
  </si>
  <si>
    <t>068270.KS</t>
  </si>
  <si>
    <t>BNTX</t>
  </si>
  <si>
    <t>SDZ.SW</t>
  </si>
  <si>
    <t>BioNTech</t>
  </si>
  <si>
    <t>3692.HK</t>
  </si>
  <si>
    <t>4578.T</t>
  </si>
  <si>
    <t>LH</t>
  </si>
  <si>
    <t>DIVISLAB.NS</t>
  </si>
  <si>
    <t>RPRX</t>
  </si>
  <si>
    <t>SMMT</t>
  </si>
  <si>
    <t>INSM</t>
  </si>
  <si>
    <t>1801.HK</t>
  </si>
  <si>
    <t>TEVA</t>
  </si>
  <si>
    <t>4503.T</t>
  </si>
  <si>
    <t>196170.KQ</t>
  </si>
  <si>
    <t>BIM.PA</t>
  </si>
  <si>
    <t>688506.SS</t>
  </si>
  <si>
    <t>9926.HK</t>
  </si>
  <si>
    <t>WXXWY</t>
  </si>
  <si>
    <t>ICLR</t>
  </si>
  <si>
    <t>4507.T</t>
  </si>
  <si>
    <t>BAX</t>
  </si>
  <si>
    <t>GMAB</t>
  </si>
  <si>
    <t>CIPLA.NS</t>
  </si>
  <si>
    <t>TORNTPHARM.NS</t>
  </si>
  <si>
    <t>UTHR</t>
  </si>
  <si>
    <t>INCY</t>
  </si>
  <si>
    <t>REC.MI</t>
  </si>
  <si>
    <t>NBIX</t>
  </si>
  <si>
    <t>MEDP</t>
  </si>
  <si>
    <t>1093.HK</t>
  </si>
  <si>
    <t>RDY</t>
  </si>
  <si>
    <t>EXEL</t>
  </si>
  <si>
    <t>MANKIND.NS</t>
  </si>
  <si>
    <t>RVTY</t>
  </si>
  <si>
    <t>ZYDUSLIFE.NS</t>
  </si>
  <si>
    <t>BMRN</t>
  </si>
  <si>
    <t>PROK</t>
  </si>
  <si>
    <t>QGEN</t>
  </si>
  <si>
    <t>VTRS</t>
  </si>
  <si>
    <t>IPN.PA</t>
  </si>
  <si>
    <t>LUPIN.NS</t>
  </si>
  <si>
    <t>ORNAV.HE</t>
  </si>
  <si>
    <t>000963.SZ</t>
  </si>
  <si>
    <t>SOBI.ST</t>
  </si>
  <si>
    <t>CSPC Innovation</t>
  </si>
  <si>
    <t>300765.SZ</t>
  </si>
  <si>
    <t>Ascendis Pharma</t>
  </si>
  <si>
    <t>ASND</t>
  </si>
  <si>
    <t>EXAS</t>
  </si>
  <si>
    <t>Exact Sciences</t>
  </si>
  <si>
    <t>Fosun Pharma</t>
  </si>
  <si>
    <t>Bio-Teche</t>
  </si>
  <si>
    <t>kyowa Kirin</t>
  </si>
  <si>
    <t>Verona Pharma</t>
  </si>
  <si>
    <t>Charles River Laboratories</t>
  </si>
  <si>
    <t>Grifols</t>
  </si>
  <si>
    <t>BridgeBio Pharma</t>
  </si>
  <si>
    <t>Blueprint Medicines</t>
  </si>
  <si>
    <t>Abbott India</t>
  </si>
  <si>
    <t>Caris Life Sciences</t>
  </si>
  <si>
    <t>Legend Biotech</t>
  </si>
  <si>
    <t>Zhifei Biological Products</t>
  </si>
  <si>
    <t>Eisai</t>
  </si>
  <si>
    <t>Roivant Sciences</t>
  </si>
  <si>
    <t>Jazz Pharmaceuticals</t>
  </si>
  <si>
    <t>Corcept Therapeutics</t>
  </si>
  <si>
    <t>Halozyme Therapeutics</t>
  </si>
  <si>
    <t>Elanco</t>
  </si>
  <si>
    <t>Repligen</t>
  </si>
  <si>
    <t>Ionis Pharmaceuticals</t>
  </si>
  <si>
    <t>TG Therapeutics</t>
  </si>
  <si>
    <t>CRISPR</t>
  </si>
  <si>
    <t>TGTX</t>
  </si>
  <si>
    <t>IONS</t>
  </si>
  <si>
    <t>RGEN</t>
  </si>
  <si>
    <t>HALO</t>
  </si>
  <si>
    <t>JAZZ</t>
  </si>
  <si>
    <t>CORT</t>
  </si>
  <si>
    <t>ELAN</t>
  </si>
  <si>
    <t>ROIV</t>
  </si>
  <si>
    <t>300122.SZ</t>
  </si>
  <si>
    <t>4523.T</t>
  </si>
  <si>
    <t>600196.SS</t>
  </si>
  <si>
    <t>TECH</t>
  </si>
  <si>
    <t>4151.T</t>
  </si>
  <si>
    <t>VRNA</t>
  </si>
  <si>
    <t>CRL</t>
  </si>
  <si>
    <t>GRFS</t>
  </si>
  <si>
    <t>BBIO</t>
  </si>
  <si>
    <t>BPMC</t>
  </si>
  <si>
    <t>ABBOTINDIA.NS</t>
  </si>
  <si>
    <t>CAI</t>
  </si>
  <si>
    <t>LEGN</t>
  </si>
  <si>
    <t>AVXL</t>
  </si>
  <si>
    <t>Anavex Life Sciences</t>
  </si>
  <si>
    <t>Sarepta Therapeutics</t>
  </si>
  <si>
    <t>SRPT</t>
  </si>
  <si>
    <t>Q125</t>
  </si>
  <si>
    <t>CRDF</t>
  </si>
  <si>
    <t>Cardiff Oncology</t>
  </si>
  <si>
    <t>Q225</t>
  </si>
  <si>
    <t>ABVX</t>
  </si>
  <si>
    <t>Abivax SA</t>
  </si>
  <si>
    <t>NTLA</t>
  </si>
  <si>
    <t>IDYA</t>
  </si>
  <si>
    <t>CLDX</t>
  </si>
  <si>
    <t>GPCR</t>
  </si>
  <si>
    <t>IRON</t>
  </si>
  <si>
    <t xml:space="preserve">  </t>
  </si>
  <si>
    <t>AUM</t>
  </si>
  <si>
    <t>Baker Brothers</t>
  </si>
  <si>
    <t>OrbiMed</t>
  </si>
  <si>
    <t>Deerfield</t>
  </si>
  <si>
    <t>RA Capital</t>
  </si>
  <si>
    <t>Perceptive Advisors</t>
  </si>
  <si>
    <t>RTW Investments</t>
  </si>
  <si>
    <t>EcoR1 Capital</t>
  </si>
  <si>
    <t>Casdin Capital</t>
  </si>
  <si>
    <t>Soleus Capital</t>
  </si>
  <si>
    <t>BVF Partners</t>
  </si>
  <si>
    <t>Deep Track Capital</t>
  </si>
  <si>
    <t>PFM Health Sciences</t>
  </si>
  <si>
    <t>Rock Springs Capital</t>
  </si>
  <si>
    <t>Vivo Capital</t>
  </si>
  <si>
    <t>Polaris Partners</t>
  </si>
  <si>
    <t>Cormorant</t>
  </si>
  <si>
    <t>Vestal Point</t>
  </si>
  <si>
    <t>Cutter Capital</t>
  </si>
  <si>
    <t>Return/yr</t>
  </si>
  <si>
    <t>Altos Labs</t>
  </si>
  <si>
    <t>Grail</t>
  </si>
  <si>
    <t>Intarcia Therapeutics</t>
  </si>
  <si>
    <t>Abogen Biosciences</t>
  </si>
  <si>
    <t>Freenome</t>
  </si>
  <si>
    <t>ElevateBio</t>
  </si>
  <si>
    <t>Voronoi</t>
  </si>
  <si>
    <t>Xaira Therapeutics</t>
  </si>
  <si>
    <t>Boehringer Ingelheim</t>
  </si>
  <si>
    <t>Roderick Wong</t>
  </si>
  <si>
    <t>Geoffery C. Hsu</t>
  </si>
  <si>
    <t>Manager</t>
  </si>
  <si>
    <t>Keytruda</t>
  </si>
  <si>
    <t>Ozempic</t>
  </si>
  <si>
    <t>Mounjaro</t>
  </si>
  <si>
    <t>Trulicity</t>
  </si>
  <si>
    <t>Eliquis</t>
  </si>
  <si>
    <t>Humira</t>
  </si>
  <si>
    <t>Enbrel</t>
  </si>
  <si>
    <t>Remicade</t>
  </si>
  <si>
    <t>Lipitor</t>
  </si>
  <si>
    <t>Revlimid</t>
  </si>
  <si>
    <t>Rituxan/MabThera</t>
  </si>
  <si>
    <t>Comirnaty</t>
  </si>
  <si>
    <t>Avastin</t>
  </si>
  <si>
    <t>Herceptin</t>
  </si>
  <si>
    <t>Plavix</t>
  </si>
  <si>
    <t>Seretide/Advair</t>
  </si>
  <si>
    <t>Lantus</t>
  </si>
  <si>
    <t>Biktarvy</t>
  </si>
  <si>
    <t>Eylea</t>
  </si>
  <si>
    <t>Stelara</t>
  </si>
  <si>
    <t>Januvia/Janumet</t>
  </si>
  <si>
    <t>Opdivo</t>
  </si>
  <si>
    <t>Prevnar</t>
  </si>
  <si>
    <t>Harvoni</t>
  </si>
  <si>
    <t>Gardasil</t>
  </si>
  <si>
    <t>Lyrica</t>
  </si>
  <si>
    <t>Xarelto</t>
  </si>
  <si>
    <t>Dupixent</t>
  </si>
  <si>
    <t>Imbruvica</t>
  </si>
  <si>
    <t>Darzalex</t>
  </si>
  <si>
    <t>Sovaldi</t>
  </si>
  <si>
    <t>Jardiance</t>
  </si>
  <si>
    <t>Cosentyx</t>
  </si>
  <si>
    <t>Ibrance</t>
  </si>
  <si>
    <t>Skyrizi</t>
  </si>
  <si>
    <t>Xolair</t>
  </si>
  <si>
    <t>Ocrevus</t>
  </si>
  <si>
    <t>Farxiga/Forxiga</t>
  </si>
  <si>
    <t>Paxlovid</t>
  </si>
  <si>
    <t>XTANDI</t>
  </si>
  <si>
    <t>Perjeta</t>
  </si>
  <si>
    <t>Orencia</t>
  </si>
  <si>
    <t>Entresto</t>
  </si>
  <si>
    <t>Tagrisso</t>
  </si>
  <si>
    <t>Verzenio</t>
  </si>
  <si>
    <t>Imfinzi</t>
  </si>
  <si>
    <t>Trikafta/Kaftrio</t>
  </si>
  <si>
    <t>Prolia</t>
  </si>
  <si>
    <t>Hemlibra</t>
  </si>
  <si>
    <t>Rinvoq</t>
  </si>
  <si>
    <t>Tecentriq</t>
  </si>
  <si>
    <t>Vyndaqel</t>
  </si>
  <si>
    <t>Wegovy</t>
  </si>
  <si>
    <t>Tremfya</t>
  </si>
  <si>
    <t>Adalimumab</t>
  </si>
  <si>
    <t>Atorvastatin</t>
  </si>
  <si>
    <t>Pembrolizumab</t>
  </si>
  <si>
    <t>Lenalidomide</t>
  </si>
  <si>
    <t>Etanercept</t>
  </si>
  <si>
    <t>Rituximab</t>
  </si>
  <si>
    <t>Indication</t>
  </si>
  <si>
    <t>Bevacizumab</t>
  </si>
  <si>
    <t>Infliximab</t>
  </si>
  <si>
    <t>Trastuzumab</t>
  </si>
  <si>
    <t>Clopidogrel</t>
  </si>
  <si>
    <t>Apixaban</t>
  </si>
  <si>
    <t>Insulin Glargine</t>
  </si>
  <si>
    <t>Aflibercept</t>
  </si>
  <si>
    <t>Ustekinumab</t>
  </si>
  <si>
    <t>Sitagliptin</t>
  </si>
  <si>
    <t>Nivolumab</t>
  </si>
  <si>
    <t>Semaglutide</t>
  </si>
  <si>
    <t>Pneumococcal vaccine</t>
  </si>
  <si>
    <t>Pregabalin</t>
  </si>
  <si>
    <t>Rivaroxaban</t>
  </si>
  <si>
    <t>Dupilumab</t>
  </si>
  <si>
    <t>Ledipasvir/Sofosbuvir</t>
  </si>
  <si>
    <t>Ibrutinib</t>
  </si>
  <si>
    <t>Daratumumab</t>
  </si>
  <si>
    <t>Sofosbuvir</t>
  </si>
  <si>
    <t>Dulaglutide</t>
  </si>
  <si>
    <t>Secukinumab</t>
  </si>
  <si>
    <t>Palbociclib</t>
  </si>
  <si>
    <t>Risankizumab</t>
  </si>
  <si>
    <t>Omalizumab</t>
  </si>
  <si>
    <t>Ocrelizumab</t>
  </si>
  <si>
    <t>Dapagliflozin</t>
  </si>
  <si>
    <t>Enzalutamide</t>
  </si>
  <si>
    <t>Pertuzumab</t>
  </si>
  <si>
    <t>Abatecept</t>
  </si>
  <si>
    <t>Sacubitril/Valsartan</t>
  </si>
  <si>
    <t>Osimertinib</t>
  </si>
  <si>
    <t>Abemaciclib</t>
  </si>
  <si>
    <t>Durvalumab</t>
  </si>
  <si>
    <t>Denosumab</t>
  </si>
  <si>
    <t>Emicizumab</t>
  </si>
  <si>
    <t>Upadacitinib</t>
  </si>
  <si>
    <t>Atezolizumab</t>
  </si>
  <si>
    <t>Tafamidis</t>
  </si>
  <si>
    <t>Guselkumab</t>
  </si>
  <si>
    <t>Tirzepatide</t>
  </si>
  <si>
    <t>RA, Crohn's</t>
  </si>
  <si>
    <t>High cholesterol</t>
  </si>
  <si>
    <t>Various cancers</t>
  </si>
  <si>
    <t>Multiple myeloma</t>
  </si>
  <si>
    <t>Rheumatoid arthritis</t>
  </si>
  <si>
    <t>Lymphoma, leukemia</t>
  </si>
  <si>
    <t>COVID-19 prevention</t>
  </si>
  <si>
    <t>Breast cancer</t>
  </si>
  <si>
    <t>Heart attack/stroke prevention</t>
  </si>
  <si>
    <t>Anticoagulant</t>
  </si>
  <si>
    <t>Asthma, COPD</t>
  </si>
  <si>
    <t>Diabetes</t>
  </si>
  <si>
    <t>HIV infection</t>
  </si>
  <si>
    <t>Macular degeneration</t>
  </si>
  <si>
    <t>Type 2 diabetes</t>
  </si>
  <si>
    <t>Pneumonia prevention</t>
  </si>
  <si>
    <t>HPV prevention</t>
  </si>
  <si>
    <t>Neuropathic pain, epilepsy</t>
  </si>
  <si>
    <t>Atopic dermatitis, asthma</t>
  </si>
  <si>
    <t>Blood cancers</t>
  </si>
  <si>
    <t>Psoriasis</t>
  </si>
  <si>
    <t>Asthma</t>
  </si>
  <si>
    <t>Multiple sclerosis</t>
  </si>
  <si>
    <t>Diabetes, heart failure</t>
  </si>
  <si>
    <t>COVID-19 treatment</t>
  </si>
  <si>
    <t>Prostate cancer</t>
  </si>
  <si>
    <t>Heart failure</t>
  </si>
  <si>
    <t>Lung cancer</t>
  </si>
  <si>
    <t>Cystic fibrosis</t>
  </si>
  <si>
    <t>Osteoporosis</t>
  </si>
  <si>
    <t>Hemophilia A</t>
  </si>
  <si>
    <t>ATTR cardiomyopathy</t>
  </si>
  <si>
    <t>Obesity</t>
  </si>
  <si>
    <t>Total Sales</t>
  </si>
  <si>
    <t>Psoriasis, Crohn's</t>
  </si>
  <si>
    <t>(billions)</t>
  </si>
  <si>
    <t>Valuation</t>
  </si>
  <si>
    <t>Round</t>
  </si>
  <si>
    <t>Investors</t>
  </si>
  <si>
    <t>Date</t>
  </si>
  <si>
    <t>Notes</t>
  </si>
  <si>
    <t>3 drug combo</t>
  </si>
  <si>
    <t>TNF-alpha</t>
  </si>
  <si>
    <t>mab</t>
  </si>
  <si>
    <t>statin</t>
  </si>
  <si>
    <t>PD-1</t>
  </si>
  <si>
    <t>soluble receptor</t>
  </si>
  <si>
    <t>rhProtein</t>
  </si>
  <si>
    <t>Felix &amp; Julian Baker</t>
  </si>
  <si>
    <t>JNJ - finish</t>
  </si>
  <si>
    <t>MRK - rework</t>
  </si>
  <si>
    <t>GILD - rework</t>
  </si>
  <si>
    <t>LLY - finish GLP-1</t>
  </si>
  <si>
    <t>BMY - in depth main approved drugs forecast</t>
  </si>
  <si>
    <t>BNTX - finish</t>
  </si>
  <si>
    <t>SMMT - finish drug analysis and competition</t>
  </si>
  <si>
    <t>AVXL - write thesis, finish reading dois</t>
  </si>
  <si>
    <t>SRPT - finish elevidys analysis, PMO financials</t>
  </si>
  <si>
    <t>Intellia Therapeutics</t>
  </si>
  <si>
    <t>Ideaya Biosciences</t>
  </si>
  <si>
    <t>Celldex Therapeutics</t>
  </si>
  <si>
    <t>Structure Therapeutics</t>
  </si>
  <si>
    <t>Disc Medicine</t>
  </si>
  <si>
    <t>member of roche group</t>
  </si>
  <si>
    <t>Diabetes, type 2</t>
  </si>
  <si>
    <t>RA</t>
  </si>
  <si>
    <t>Hypertension</t>
  </si>
  <si>
    <t>Schizophrenia</t>
  </si>
  <si>
    <t>Breast Cancer</t>
  </si>
  <si>
    <t>NSCLC</t>
  </si>
  <si>
    <t>Influenza</t>
  </si>
  <si>
    <t>Multiple Myeloma</t>
  </si>
  <si>
    <t>Prostate Cancer</t>
  </si>
  <si>
    <t>COPD</t>
  </si>
  <si>
    <t>Revenue</t>
  </si>
  <si>
    <t>Efficacy</t>
  </si>
  <si>
    <t>Common MOAs</t>
  </si>
  <si>
    <t>Pathology</t>
  </si>
  <si>
    <t>GLP-1</t>
  </si>
  <si>
    <t>ADHD</t>
  </si>
  <si>
    <t>Pathophysiology</t>
  </si>
  <si>
    <t>Etiology</t>
  </si>
  <si>
    <t>Symptoms</t>
  </si>
  <si>
    <t>Epidemiology</t>
  </si>
  <si>
    <t>Target Validation</t>
  </si>
  <si>
    <t>Primary Endpoints</t>
  </si>
  <si>
    <t>Economics</t>
  </si>
  <si>
    <t>Unmet Need</t>
  </si>
  <si>
    <t>Prevalence</t>
  </si>
  <si>
    <t>DALY/Disease Burden Score</t>
  </si>
  <si>
    <t>Regulatory</t>
  </si>
  <si>
    <t>Biomarkers</t>
  </si>
  <si>
    <t>Ritalin</t>
  </si>
  <si>
    <t>Adderall</t>
  </si>
  <si>
    <t>methylphenidate</t>
  </si>
  <si>
    <t>Concerta</t>
  </si>
  <si>
    <t>amphetamine</t>
  </si>
  <si>
    <t>autoimmune disease?</t>
  </si>
  <si>
    <t>Top Drugs</t>
  </si>
  <si>
    <t>HCV</t>
  </si>
  <si>
    <t>Hepatitis C (HCV)</t>
  </si>
  <si>
    <t>HCV NS5B RNA polymerase</t>
  </si>
  <si>
    <t>~42m+</t>
  </si>
  <si>
    <t>Mounjaro, Ozempic</t>
  </si>
  <si>
    <t>hallucinations, delusions</t>
  </si>
  <si>
    <t>ivonsertib, Keytruda</t>
  </si>
  <si>
    <t xml:space="preserve"> </t>
  </si>
  <si>
    <t>Migraine</t>
  </si>
  <si>
    <t>Anxiety</t>
  </si>
  <si>
    <t>Bipolar</t>
  </si>
  <si>
    <t>HBV</t>
  </si>
  <si>
    <t>HIV/AIDS</t>
  </si>
  <si>
    <t>Tuberculosis</t>
  </si>
  <si>
    <t>Malaria</t>
  </si>
  <si>
    <t>Lung Cancer</t>
  </si>
  <si>
    <t>CRC</t>
  </si>
  <si>
    <t>Leukemia</t>
  </si>
  <si>
    <t>Stroke</t>
  </si>
  <si>
    <t>AD / Dementia</t>
  </si>
  <si>
    <t>Ischemic Heart Disease</t>
  </si>
  <si>
    <t>Chronic Kidney Disease</t>
  </si>
  <si>
    <t>Cardiovascular Disease</t>
  </si>
  <si>
    <t>Osteoarthritis</t>
  </si>
  <si>
    <t>Chronic Pain</t>
  </si>
  <si>
    <t>Corticosteroids</t>
  </si>
  <si>
    <t>(millions)</t>
  </si>
  <si>
    <t>Deaths/yr</t>
  </si>
  <si>
    <t>Depression</t>
  </si>
  <si>
    <t>Cancer (All Types)</t>
  </si>
  <si>
    <t>indirect</t>
  </si>
  <si>
    <t>Diabetes, type 1</t>
  </si>
  <si>
    <t>Total</t>
  </si>
  <si>
    <t>SSRI, SNRI</t>
  </si>
  <si>
    <t>part of cancer</t>
  </si>
  <si>
    <t>part of cardio</t>
  </si>
  <si>
    <t>part of diabetes</t>
  </si>
  <si>
    <t>part of liver</t>
  </si>
  <si>
    <t>IBD (Crohn's/UC)</t>
  </si>
  <si>
    <t>(millions) 2024</t>
  </si>
  <si>
    <t>(thousands)</t>
  </si>
  <si>
    <t>Cardiovascular</t>
  </si>
  <si>
    <t>Journavx, Vicodin, OxyContin, Lyrica</t>
  </si>
  <si>
    <t>Rezdiffra, Livdelzi, Sovaldi, Harvoni</t>
  </si>
  <si>
    <t>Lisinopril, Nmorvasc, Cozaar, Benicar, Tryvio</t>
  </si>
  <si>
    <t>Emgality, Aimovig, Ajovy, Vyepti, Nurtec ODT</t>
  </si>
  <si>
    <t>Ozempic, Mounjaro, Jardiance, Farxiga, Lantus</t>
  </si>
  <si>
    <t>Biktarvy, Dovato, Triumeq, Genvoya</t>
  </si>
  <si>
    <t>Keytruda, Opdivo, Yervoy, Tecentriq, Avastin</t>
  </si>
  <si>
    <t>Humira, Enbrel, Orencia, Rituxan, Actemra, Xeljanz, Rinvoq</t>
  </si>
  <si>
    <t>Lexapro, Prozac, Zoloft, Cymbalta, Wellbutrin</t>
  </si>
  <si>
    <t>Xanax, Ativan, Klonopin, Buspar</t>
  </si>
  <si>
    <t>Ablify, Risperdal, Zyprexa, Seroquel, Invega</t>
  </si>
  <si>
    <t>Adderall, Ritalin, Concerta, Vyvanse, Strattera</t>
  </si>
  <si>
    <t>Spiriva, Advair, Symbicort, Anoro Ellipta</t>
  </si>
  <si>
    <t>Advair, Symbicort, Dupixent, Xolair</t>
  </si>
  <si>
    <t>Tagrisso, Alecensa, Lobrena</t>
  </si>
  <si>
    <t>Herceptin, Perjeta, Enhertu, Ibrance, Kisqali</t>
  </si>
  <si>
    <t>Revlimid, Velcade, Darzalex, Kyprolis</t>
  </si>
  <si>
    <t>Zytiga, Xtandi, Pluvicto</t>
  </si>
  <si>
    <t>Autoimmune/Inflammatory</t>
  </si>
  <si>
    <t>Neurological</t>
  </si>
  <si>
    <t>Kisulna, Aricept, Leqembi</t>
  </si>
  <si>
    <t>Tamiflu</t>
  </si>
  <si>
    <t>Skyrizi, Stelara</t>
  </si>
  <si>
    <t>Skyrizi, Stelara, Entyvio</t>
  </si>
  <si>
    <t>NSAID/COXi, Opioid Receptor Agonists, Sodium Channel Blockers, Anticonvulsants, SNRI</t>
  </si>
  <si>
    <t>PPAR-delta, THR-beta, NS5B, NS5Ai, Nucleostide Reverse Transcriptase inhibitors</t>
  </si>
  <si>
    <t>ACEi, ARBs, Calcium Channel Blockers, Thiazide Diuretics, Beta-blockers, endothelin-1 receptor antagonists</t>
  </si>
  <si>
    <t>CGRPi, CGRP receptor antagonists, Triptans, Beta-blockers</t>
  </si>
  <si>
    <t>GLP-1/GIP, SGLT2i, Metformin, DPP-4i</t>
  </si>
  <si>
    <t>SSRI, SNRI, Tricyclic, MAOi</t>
  </si>
  <si>
    <t>Benzodiazepines, Buspirone, SSRI, Beta-blockers</t>
  </si>
  <si>
    <t>block dopamine D2 receptors and serotonin 5-HT2A receptors, partial D2 agonists</t>
  </si>
  <si>
    <t>LAMA, LABA, Corticosteroids, PDE4i</t>
  </si>
  <si>
    <t>Corticosteroids, LABA, block leukotriene receptors, Anti-IgE biologics, IL-4/IL-13i</t>
  </si>
  <si>
    <t>PD-1/PD-L1i, CTLA-4i, VEGFi, Tyrosine Kinase inhibitors, Alkylating agents, antimetabolities</t>
  </si>
  <si>
    <t>Nucleoside RTIs, non-nucleoside RTIs, Integrase inhibitors, protease inhibitors, entry/fusion inhibitors</t>
  </si>
  <si>
    <t>TNF-alpha, JAKi, IL-6 receptor antagonist, T-cell costimulation, CD20 mab, DMARD</t>
  </si>
  <si>
    <t>PD-1i, ALKi, EGFRi</t>
  </si>
  <si>
    <t>HER2i, CDK4/6i, Aromatase, Block estrogen receptors</t>
  </si>
  <si>
    <t>Preoteasome Inhibitors, Immunomodulatory Drugs, CD38 mab</t>
  </si>
  <si>
    <t>TNFi, IL-17i, IL-23i</t>
  </si>
  <si>
    <t>TNF-alpha, IL-12/IL-23i, JAKi, Integrin Antagonists</t>
  </si>
  <si>
    <t>Cell Wall Synthesis Inihibitors, Protein Synthesis I, RNA polymerase I, ATP Synthase I</t>
  </si>
  <si>
    <t>Artemisinin Compounds, Quinoline Antimalarials, Folate Synthesis I, Mitochondrial I</t>
  </si>
  <si>
    <t>Cholinesterase, NMDA antagonist, Anti-amyloid mab</t>
  </si>
  <si>
    <t>Stimulants (dopamine/norepinephrine reuptake inhibition), Alpha-2 agonists</t>
  </si>
  <si>
    <t>RAAS-Mediated Cardiovascular/Renal</t>
  </si>
  <si>
    <t>Metabolic/Endocrine Dysfunction</t>
  </si>
  <si>
    <t>Neurotransmitter Imbalance</t>
  </si>
  <si>
    <t>Oncogenic Transformation</t>
  </si>
  <si>
    <t>Viral Replication/Integration</t>
  </si>
  <si>
    <t>Pain Signal Transduction</t>
  </si>
  <si>
    <t>Airway Inflammatory/Obstructive</t>
  </si>
  <si>
    <t>Pathogen-Host Interaction</t>
  </si>
  <si>
    <t>Thrombotic/Ischemic Injury</t>
  </si>
  <si>
    <t>RAAS-Mediated Cardiovascular/Renal, Thrombotic/Ischemic Injury</t>
  </si>
  <si>
    <t>Neurodegeneration/Protein Misfolding</t>
  </si>
  <si>
    <t>Pain Signal Transduction, CGRP-Mediated Neurogenic Inflammation</t>
  </si>
  <si>
    <t>cured</t>
  </si>
  <si>
    <t>~30% slowing</t>
  </si>
  <si>
    <t>low-mild</t>
  </si>
  <si>
    <t>symptom treatment</t>
  </si>
  <si>
    <t>mild</t>
  </si>
  <si>
    <t>very effective</t>
  </si>
  <si>
    <t>Oncology</t>
  </si>
  <si>
    <t>Infectious Disease</t>
  </si>
  <si>
    <t>Pain</t>
  </si>
  <si>
    <t>Obesity/Diabetes/Liver</t>
  </si>
  <si>
    <t>rev/person</t>
  </si>
  <si>
    <t>mortality rate</t>
  </si>
  <si>
    <t>Market Share</t>
  </si>
  <si>
    <t>QALYs</t>
  </si>
  <si>
    <t>a year of someones life globally = 18,000?</t>
  </si>
  <si>
    <t xml:space="preserve">WHO Choice-Rule: max 3x GDP intervention QALY </t>
  </si>
  <si>
    <t>USA HHS values 1 year of life at 500k</t>
  </si>
  <si>
    <t>Keytruda ~3mo PFS over chemo alone should be ~160k/year which aligns with current pricing</t>
  </si>
  <si>
    <t>Approved</t>
  </si>
  <si>
    <t>Expiry</t>
  </si>
  <si>
    <t>Entyvio</t>
  </si>
  <si>
    <t>Lymparza</t>
  </si>
  <si>
    <t>Vabysmo</t>
  </si>
  <si>
    <t>Shingrix</t>
  </si>
  <si>
    <t>Invega Sustenna/Xeplion</t>
  </si>
  <si>
    <t>OFEV</t>
  </si>
  <si>
    <t>Pomalyst</t>
  </si>
  <si>
    <t>Rybelsus</t>
  </si>
  <si>
    <t>Sarcoidosis</t>
  </si>
  <si>
    <t>Prednisone</t>
  </si>
  <si>
    <t>corticosteroid</t>
  </si>
  <si>
    <t>Liver Disease</t>
  </si>
  <si>
    <t>Metformin</t>
  </si>
  <si>
    <t>Levothyroxine</t>
  </si>
  <si>
    <t>Lisinopril</t>
  </si>
  <si>
    <t>Amlodipine</t>
  </si>
  <si>
    <t>Metoprolol</t>
  </si>
  <si>
    <t>Albuterol</t>
  </si>
  <si>
    <t>Losartan</t>
  </si>
  <si>
    <t>Gabapentin</t>
  </si>
  <si>
    <t>Omeprazole</t>
  </si>
  <si>
    <t>Sertraline</t>
  </si>
  <si>
    <t>Rosuvastatin</t>
  </si>
  <si>
    <t>Pantoprazole</t>
  </si>
  <si>
    <t>Escitalopram</t>
  </si>
  <si>
    <t>Dextroamphetamine</t>
  </si>
  <si>
    <t>Hydrochlorothiazide</t>
  </si>
  <si>
    <t>Bupropion</t>
  </si>
  <si>
    <t>Fluoxetine</t>
  </si>
  <si>
    <t>Montelukast</t>
  </si>
  <si>
    <t>Trazodone</t>
  </si>
  <si>
    <t>Simvastatin</t>
  </si>
  <si>
    <t>Amoxicillin</t>
  </si>
  <si>
    <t>Tamsulosin</t>
  </si>
  <si>
    <t>Acetaminophen, Hydrocodone</t>
  </si>
  <si>
    <t>Fluticasone</t>
  </si>
  <si>
    <t>Furosemide</t>
  </si>
  <si>
    <t>Duloxetine</t>
  </si>
  <si>
    <t>Ibuprofen</t>
  </si>
  <si>
    <t>Famotidine</t>
  </si>
  <si>
    <t>Empagliflozin</t>
  </si>
  <si>
    <t>Carvedilol</t>
  </si>
  <si>
    <t>Tramadol</t>
  </si>
  <si>
    <t>Alprazolam</t>
  </si>
  <si>
    <t>Hydroxyzine</t>
  </si>
  <si>
    <t>Buspirone</t>
  </si>
  <si>
    <t>Glipizide</t>
  </si>
  <si>
    <t>Citalopram</t>
  </si>
  <si>
    <t>Potassium Chloride</t>
  </si>
  <si>
    <t>Allopurinol</t>
  </si>
  <si>
    <t>Aspirin</t>
  </si>
  <si>
    <t>Cyclobenzaprine</t>
  </si>
  <si>
    <t>Ergocalciferol</t>
  </si>
  <si>
    <t>Oxycodone</t>
  </si>
  <si>
    <t>Methylphenidate</t>
  </si>
  <si>
    <t>Venlafaxine</t>
  </si>
  <si>
    <t>Spironolactone</t>
  </si>
  <si>
    <t>Ondansetron</t>
  </si>
  <si>
    <t>Zolpidem</t>
  </si>
  <si>
    <t>Cetirizine</t>
  </si>
  <si>
    <t>Estradiol</t>
  </si>
  <si>
    <t>Pravastatin</t>
  </si>
  <si>
    <t>Hydrochlorothiazide; Lisinopril</t>
  </si>
  <si>
    <t>Lamotrigine</t>
  </si>
  <si>
    <t>Quetiapine</t>
  </si>
  <si>
    <t>Fluticasone; Salmeterol</t>
  </si>
  <si>
    <t>Clonazepam</t>
  </si>
  <si>
    <t>Azithromycin</t>
  </si>
  <si>
    <t>Latanoprost</t>
  </si>
  <si>
    <t>Cholecalciferol</t>
  </si>
  <si>
    <t>Propanolol</t>
  </si>
  <si>
    <t>Ezetimibe</t>
  </si>
  <si>
    <t>Finasteride</t>
  </si>
  <si>
    <t>ACEi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</si>
</sst>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 applyFill="1"/>
    <xf numFmtId="164" fontId="0" fillId="0" borderId="0" xfId="0" applyNumberFormat="1"/>
    <xf numFmtId="38" fontId="0" fillId="0" borderId="0" xfId="0" applyNumberFormat="1"/>
    <xf numFmtId="1" fontId="0" fillId="0" borderId="0" xfId="0" applyNumberFormat="1"/>
    <xf numFmtId="0" fontId="2" fillId="0" borderId="0" xfId="0" applyFont="1"/>
    <xf numFmtId="166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LLY.xlsx" TargetMode="External"/><Relationship Id="rId1" Type="http://schemas.openxmlformats.org/officeDocument/2006/relationships/externalLinkPath" Target="LLY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CRDF.xlsx" TargetMode="External"/><Relationship Id="rId1" Type="http://schemas.openxmlformats.org/officeDocument/2006/relationships/externalLinkPath" Target="CRD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BBV.xlsx" TargetMode="External"/><Relationship Id="rId1" Type="http://schemas.openxmlformats.org/officeDocument/2006/relationships/externalLinkPath" Target="ABBV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MRK.xlsx" TargetMode="External"/><Relationship Id="rId1" Type="http://schemas.openxmlformats.org/officeDocument/2006/relationships/externalLinkPath" Target="MR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GILD.xlsx" TargetMode="External"/><Relationship Id="rId1" Type="http://schemas.openxmlformats.org/officeDocument/2006/relationships/externalLinkPath" Target="GILD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BMY.xlsx" TargetMode="External"/><Relationship Id="rId1" Type="http://schemas.openxmlformats.org/officeDocument/2006/relationships/externalLinkPath" Target="BMY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BNTX.xlsx" TargetMode="External"/><Relationship Id="rId1" Type="http://schemas.openxmlformats.org/officeDocument/2006/relationships/externalLinkPath" Target="BNTX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SMMT.xlsx" TargetMode="External"/><Relationship Id="rId1" Type="http://schemas.openxmlformats.org/officeDocument/2006/relationships/externalLinkPath" Target="SMMT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VXL.xlsx" TargetMode="External"/><Relationship Id="rId1" Type="http://schemas.openxmlformats.org/officeDocument/2006/relationships/externalLinkPath" Target="AVX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SRPT.xlsx" TargetMode="External"/><Relationship Id="rId1" Type="http://schemas.openxmlformats.org/officeDocument/2006/relationships/externalLinkPath" Target="SR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Trials"/>
      <sheetName val="GLP-1s"/>
      <sheetName val="Mounjaro-Zepbound"/>
      <sheetName val="Trulicity"/>
      <sheetName val="Kisunla"/>
      <sheetName val="orforglipron"/>
      <sheetName val="retratrutide"/>
      <sheetName val="imlunestrant"/>
      <sheetName val="lebrikizumab"/>
      <sheetName val="lepodisiran"/>
      <sheetName val="mirikizumab"/>
      <sheetName val="olomorasib"/>
    </sheetNames>
    <sheetDataSet>
      <sheetData sheetId="0">
        <row r="3">
          <cell r="L3">
            <v>898</v>
          </cell>
        </row>
        <row r="5">
          <cell r="L5">
            <v>3546</v>
          </cell>
        </row>
        <row r="6">
          <cell r="L6">
            <v>46862</v>
          </cell>
        </row>
      </sheetData>
      <sheetData sheetId="1">
        <row r="32">
          <cell r="AI32">
            <v>0.02</v>
          </cell>
        </row>
        <row r="33">
          <cell r="AI33">
            <v>-0.01</v>
          </cell>
        </row>
        <row r="34">
          <cell r="AI34">
            <v>7.0000000000000007E-2</v>
          </cell>
        </row>
        <row r="35">
          <cell r="AI35">
            <v>815642.43678764242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PLK1"/>
      <sheetName val="Literature"/>
      <sheetName val="onvansertib"/>
      <sheetName val="competitors"/>
      <sheetName val="CRDF-004"/>
    </sheetNames>
    <sheetDataSet>
      <sheetData sheetId="0">
        <row r="4">
          <cell r="K4">
            <v>66.525999999999996</v>
          </cell>
        </row>
        <row r="6">
          <cell r="K6">
            <v>70</v>
          </cell>
        </row>
        <row r="7">
          <cell r="K7">
            <v>0</v>
          </cell>
        </row>
        <row r="8">
          <cell r="K8">
            <v>76.357200000000006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rinvoq"/>
      <sheetName val="skyrizi"/>
      <sheetName val="ubrelvy"/>
      <sheetName val="quilipta"/>
      <sheetName val="vraylar"/>
      <sheetName val="epkinly"/>
      <sheetName val="elahere"/>
      <sheetName val="venclexta"/>
      <sheetName val="ABBV-113"/>
      <sheetName val="temab-a"/>
      <sheetName val="etentamig"/>
      <sheetName val="tavapadon"/>
    </sheetNames>
    <sheetDataSet>
      <sheetData sheetId="0">
        <row r="3">
          <cell r="L3">
            <v>1766.4</v>
          </cell>
        </row>
        <row r="4">
          <cell r="L4">
            <v>344448</v>
          </cell>
        </row>
        <row r="5">
          <cell r="L5">
            <v>5176</v>
          </cell>
        </row>
        <row r="6">
          <cell r="L6">
            <v>72471</v>
          </cell>
        </row>
        <row r="7">
          <cell r="K7" t="str">
            <v>EV</v>
          </cell>
        </row>
      </sheetData>
      <sheetData sheetId="1">
        <row r="38">
          <cell r="AC38">
            <v>0.02</v>
          </cell>
        </row>
        <row r="39">
          <cell r="AC39">
            <v>-0.01</v>
          </cell>
        </row>
        <row r="40">
          <cell r="AC40">
            <v>7.0000000000000007E-2</v>
          </cell>
        </row>
        <row r="41">
          <cell r="AC41">
            <v>412792.93660731037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</sheetNames>
    <sheetDataSet>
      <sheetData sheetId="0">
        <row r="3">
          <cell r="L3">
            <v>2511.0309999999999</v>
          </cell>
        </row>
        <row r="5">
          <cell r="L5">
            <v>9228</v>
          </cell>
        </row>
        <row r="6">
          <cell r="L6">
            <v>41548</v>
          </cell>
        </row>
        <row r="7">
          <cell r="K7" t="str">
            <v>EV</v>
          </cell>
        </row>
      </sheetData>
      <sheetData sheetId="1">
        <row r="34">
          <cell r="AA34">
            <v>0.02</v>
          </cell>
        </row>
        <row r="35">
          <cell r="AA35">
            <v>-0.01</v>
          </cell>
        </row>
        <row r="36">
          <cell r="AA36">
            <v>7.0000000000000007E-2</v>
          </cell>
        </row>
        <row r="37">
          <cell r="AA37">
            <v>264492.46738844895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1243.9290000000001</v>
          </cell>
        </row>
        <row r="5">
          <cell r="M5">
            <v>7926</v>
          </cell>
        </row>
        <row r="6">
          <cell r="M6">
            <v>25011</v>
          </cell>
        </row>
        <row r="7">
          <cell r="M7">
            <v>157648.97700000001</v>
          </cell>
        </row>
      </sheetData>
      <sheetData sheetId="1">
        <row r="89">
          <cell r="AA89">
            <v>0.02</v>
          </cell>
        </row>
        <row r="90">
          <cell r="AA90">
            <v>-0.01</v>
          </cell>
        </row>
        <row r="91">
          <cell r="AA91">
            <v>7.0000000000000007E-2</v>
          </cell>
        </row>
        <row r="92">
          <cell r="AA92">
            <v>170422.41718793675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olcadomide"/>
      <sheetName val="BMS-986365"/>
      <sheetName val="iberdomide"/>
      <sheetName val="obexlimab"/>
      <sheetName val="milvexian"/>
      <sheetName val="admilparant"/>
      <sheetName val="Matrix"/>
    </sheetNames>
    <sheetDataSet>
      <sheetData sheetId="0">
        <row r="3">
          <cell r="L3">
            <v>2035.08</v>
          </cell>
        </row>
        <row r="5">
          <cell r="L5">
            <v>11782</v>
          </cell>
        </row>
        <row r="6">
          <cell r="L6">
            <v>50910</v>
          </cell>
        </row>
        <row r="7">
          <cell r="L7">
            <v>128671.51999999999</v>
          </cell>
        </row>
      </sheetData>
      <sheetData sheetId="1">
        <row r="45">
          <cell r="Y45">
            <v>0.02</v>
          </cell>
        </row>
        <row r="46">
          <cell r="Y46">
            <v>-0.01</v>
          </cell>
        </row>
        <row r="47">
          <cell r="Y47">
            <v>0.08</v>
          </cell>
        </row>
        <row r="48">
          <cell r="Y48">
            <v>104952.78625217403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BNT327"/>
    </sheetNames>
    <sheetDataSet>
      <sheetData sheetId="0">
        <row r="3">
          <cell r="K3">
            <v>248</v>
          </cell>
        </row>
        <row r="5">
          <cell r="K5">
            <v>12096.864</v>
          </cell>
        </row>
        <row r="6">
          <cell r="K6">
            <v>0</v>
          </cell>
        </row>
        <row r="7">
          <cell r="K7">
            <v>15815.535999999998</v>
          </cell>
        </row>
      </sheetData>
      <sheetData sheetId="1">
        <row r="15">
          <cell r="V15">
            <v>0.02</v>
          </cell>
        </row>
        <row r="16">
          <cell r="V16">
            <v>-0.01</v>
          </cell>
        </row>
        <row r="17">
          <cell r="V17">
            <v>0.08</v>
          </cell>
        </row>
        <row r="18">
          <cell r="V18">
            <v>40109.132079243369</v>
          </cell>
        </row>
      </sheetData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vonescimab"/>
    </sheetNames>
    <sheetDataSet>
      <sheetData sheetId="0">
        <row r="3">
          <cell r="K3">
            <v>742.84670000000006</v>
          </cell>
        </row>
        <row r="5">
          <cell r="K5">
            <v>298</v>
          </cell>
        </row>
        <row r="6">
          <cell r="K6">
            <v>0</v>
          </cell>
        </row>
        <row r="7">
          <cell r="K7">
            <v>19536.006890000001</v>
          </cell>
        </row>
      </sheetData>
      <sheetData sheetId="1"/>
      <sheetData sheetId="2"/>
      <sheetData sheetId="3">
        <row r="51">
          <cell r="D51">
            <v>0.09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SIGMAR1"/>
      <sheetName val="blarcamesine"/>
      <sheetName val="ANAVEX2-73-AD-004"/>
      <sheetName val="ATTENTION-AD"/>
      <sheetName val="Supplemental"/>
    </sheetNames>
    <sheetDataSet>
      <sheetData sheetId="0">
        <row r="3">
          <cell r="K3">
            <v>85.372</v>
          </cell>
        </row>
        <row r="5">
          <cell r="K5">
            <v>115.771</v>
          </cell>
        </row>
        <row r="6">
          <cell r="K6">
            <v>0</v>
          </cell>
        </row>
        <row r="7">
          <cell r="K7">
            <v>1028.2138</v>
          </cell>
        </row>
      </sheetData>
      <sheetData sheetId="1">
        <row r="6">
          <cell r="R6">
            <v>0.02</v>
          </cell>
        </row>
        <row r="7">
          <cell r="R7">
            <v>-0.01</v>
          </cell>
        </row>
        <row r="8">
          <cell r="R8">
            <v>0.09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elevidys"/>
      <sheetName val="exondys"/>
      <sheetName val="vyondys"/>
      <sheetName val="amondys"/>
      <sheetName val="SRP-9003"/>
    </sheetNames>
    <sheetDataSet>
      <sheetData sheetId="0">
        <row r="3">
          <cell r="K3">
            <v>98.277000000000001</v>
          </cell>
        </row>
        <row r="5">
          <cell r="K5">
            <v>522.70000000000005</v>
          </cell>
        </row>
        <row r="6">
          <cell r="K6">
            <v>1717.16</v>
          </cell>
        </row>
        <row r="7">
          <cell r="K7">
            <v>3356.5540000000001</v>
          </cell>
        </row>
      </sheetData>
      <sheetData sheetId="1">
        <row r="17">
          <cell r="X17">
            <v>0.02</v>
          </cell>
        </row>
        <row r="18">
          <cell r="X18">
            <v>-0.01</v>
          </cell>
        </row>
        <row r="19">
          <cell r="X19">
            <v>0.09</v>
          </cell>
        </row>
        <row r="20">
          <cell r="X20">
            <v>6400.0919928067269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RPT.xlsx" TargetMode="External"/><Relationship Id="rId3" Type="http://schemas.openxmlformats.org/officeDocument/2006/relationships/hyperlink" Target="ABBV.xlsx" TargetMode="External"/><Relationship Id="rId7" Type="http://schemas.openxmlformats.org/officeDocument/2006/relationships/hyperlink" Target="AVXL.xlsx" TargetMode="External"/><Relationship Id="rId12" Type="http://schemas.openxmlformats.org/officeDocument/2006/relationships/hyperlink" Target="NTLA.xlsx" TargetMode="External"/><Relationship Id="rId2" Type="http://schemas.openxmlformats.org/officeDocument/2006/relationships/hyperlink" Target="CRDF.xlsx" TargetMode="External"/><Relationship Id="rId1" Type="http://schemas.openxmlformats.org/officeDocument/2006/relationships/hyperlink" Target="LLY.xlsx" TargetMode="External"/><Relationship Id="rId6" Type="http://schemas.openxmlformats.org/officeDocument/2006/relationships/hyperlink" Target="GILD.xlsx" TargetMode="External"/><Relationship Id="rId11" Type="http://schemas.openxmlformats.org/officeDocument/2006/relationships/hyperlink" Target="JNJ.xlsx" TargetMode="External"/><Relationship Id="rId5" Type="http://schemas.openxmlformats.org/officeDocument/2006/relationships/hyperlink" Target="MRK.xlsx" TargetMode="External"/><Relationship Id="rId10" Type="http://schemas.openxmlformats.org/officeDocument/2006/relationships/hyperlink" Target="BNTX.xlsx" TargetMode="External"/><Relationship Id="rId4" Type="http://schemas.openxmlformats.org/officeDocument/2006/relationships/hyperlink" Target="BMY.xlsx" TargetMode="External"/><Relationship Id="rId9" Type="http://schemas.openxmlformats.org/officeDocument/2006/relationships/hyperlink" Target="SMM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3935-C65F-4820-824F-2092D9DD7675}">
  <dimension ref="B1:Q131"/>
  <sheetViews>
    <sheetView tabSelected="1" zoomScale="145" zoomScaleNormal="145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C4" sqref="C4"/>
    </sheetView>
  </sheetViews>
  <sheetFormatPr defaultRowHeight="12.75" x14ac:dyDescent="0.2"/>
  <cols>
    <col min="1" max="1" width="2.42578125" customWidth="1"/>
    <col min="2" max="2" width="4.140625" bestFit="1" customWidth="1"/>
    <col min="3" max="3" width="22.5703125" bestFit="1" customWidth="1"/>
    <col min="4" max="4" width="9.28515625" customWidth="1"/>
    <col min="6" max="6" width="10.140625" style="2" customWidth="1"/>
  </cols>
  <sheetData>
    <row r="1" spans="2:16" x14ac:dyDescent="0.2">
      <c r="F1"/>
    </row>
    <row r="2" spans="2:16" x14ac:dyDescent="0.2">
      <c r="B2">
        <f ca="1">RANDBETWEEN(1,B113)</f>
        <v>14</v>
      </c>
      <c r="F2" s="2">
        <f>SUM(F4:F1048576)</f>
        <v>1533987.0104999999</v>
      </c>
      <c r="L2" s="3">
        <f>AVERAGE(L4:L1048576)</f>
        <v>0.11445598503191298</v>
      </c>
    </row>
    <row r="3" spans="2:16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2:16" x14ac:dyDescent="0.2">
      <c r="B4">
        <v>1</v>
      </c>
      <c r="C4" s="1" t="s">
        <v>14</v>
      </c>
      <c r="D4" t="s">
        <v>15</v>
      </c>
      <c r="E4" s="4">
        <v>685</v>
      </c>
      <c r="F4" s="2">
        <f>E4*J4</f>
        <v>615130</v>
      </c>
      <c r="G4" s="2">
        <f>[1]Main!$L$5-[1]Main!$L$6</f>
        <v>-43316</v>
      </c>
      <c r="H4" s="2">
        <f>[1]Main!$K$8</f>
        <v>0</v>
      </c>
      <c r="I4" t="s">
        <v>243</v>
      </c>
      <c r="J4" s="2">
        <f>[1]Main!$L$3</f>
        <v>898</v>
      </c>
      <c r="K4" s="2">
        <f>[1]Model!$AI$35</f>
        <v>815642.43678764242</v>
      </c>
      <c r="L4" s="3">
        <f>(K4/J4)/E4-1</f>
        <v>0.32596757886567462</v>
      </c>
      <c r="M4" s="3">
        <f>[1]Model!$AI$32</f>
        <v>0.02</v>
      </c>
      <c r="N4" s="3">
        <f>[1]Model!$AI$33</f>
        <v>-0.01</v>
      </c>
      <c r="O4" s="3">
        <f>[1]Model!$AI$34</f>
        <v>7.0000000000000007E-2</v>
      </c>
      <c r="P4" s="8">
        <v>1876</v>
      </c>
    </row>
    <row r="5" spans="2:16" x14ac:dyDescent="0.2">
      <c r="B5">
        <f>B4+1</f>
        <v>2</v>
      </c>
      <c r="C5" s="1" t="s">
        <v>26</v>
      </c>
      <c r="D5" t="s">
        <v>113</v>
      </c>
    </row>
    <row r="6" spans="2:16" x14ac:dyDescent="0.2">
      <c r="B6">
        <f t="shared" ref="B6:B70" si="0">B5+1</f>
        <v>3</v>
      </c>
      <c r="C6" s="1" t="s">
        <v>27</v>
      </c>
      <c r="D6" t="s">
        <v>114</v>
      </c>
      <c r="E6" s="4">
        <v>195</v>
      </c>
      <c r="F6" s="2">
        <f>[2]Main!$L$4</f>
        <v>344448</v>
      </c>
      <c r="G6" s="2">
        <f>[2]Main!$L$5-[2]Main!$L$6</f>
        <v>-67295</v>
      </c>
      <c r="H6" s="2" t="str">
        <f>[2]Main!$K$7</f>
        <v>EV</v>
      </c>
      <c r="I6" t="s">
        <v>240</v>
      </c>
      <c r="J6" s="2">
        <f>[2]Main!$L$3</f>
        <v>1766.4</v>
      </c>
      <c r="K6" s="2">
        <f>[2]Model!$AC$41</f>
        <v>412792.93660731037</v>
      </c>
      <c r="L6" s="3">
        <f>(K6/J6)/E6-1</f>
        <v>0.19841873550524425</v>
      </c>
      <c r="M6" s="3">
        <f>[2]Model!$AC$38</f>
        <v>0.02</v>
      </c>
      <c r="N6" s="3">
        <f>[2]Model!$AC$39</f>
        <v>-0.01</v>
      </c>
      <c r="O6" s="3">
        <f>[2]Model!$AC$40</f>
        <v>7.0000000000000007E-2</v>
      </c>
      <c r="P6">
        <v>2012</v>
      </c>
    </row>
    <row r="7" spans="2:16" x14ac:dyDescent="0.2">
      <c r="B7">
        <f t="shared" si="0"/>
        <v>4</v>
      </c>
      <c r="C7" t="s">
        <v>28</v>
      </c>
      <c r="D7" t="s">
        <v>115</v>
      </c>
    </row>
    <row r="8" spans="2:16" x14ac:dyDescent="0.2">
      <c r="B8">
        <f t="shared" si="0"/>
        <v>5</v>
      </c>
      <c r="C8" t="s">
        <v>29</v>
      </c>
      <c r="D8" t="s">
        <v>116</v>
      </c>
    </row>
    <row r="9" spans="2:16" x14ac:dyDescent="0.2">
      <c r="B9">
        <f t="shared" si="0"/>
        <v>6</v>
      </c>
      <c r="C9" t="s">
        <v>30</v>
      </c>
      <c r="D9" t="s">
        <v>117</v>
      </c>
    </row>
    <row r="10" spans="2:16" x14ac:dyDescent="0.2">
      <c r="B10">
        <f t="shared" si="0"/>
        <v>7</v>
      </c>
      <c r="C10" t="s">
        <v>31</v>
      </c>
      <c r="D10" t="s">
        <v>118</v>
      </c>
    </row>
    <row r="11" spans="2:16" x14ac:dyDescent="0.2">
      <c r="B11">
        <f t="shared" si="0"/>
        <v>8</v>
      </c>
      <c r="C11" s="5" t="s">
        <v>32</v>
      </c>
      <c r="D11" t="s">
        <v>119</v>
      </c>
      <c r="E11" s="4">
        <v>85</v>
      </c>
      <c r="F11" s="2">
        <f>E11*J11</f>
        <v>213437.63500000001</v>
      </c>
      <c r="G11" s="2">
        <f>[3]Main!$L$5-[3]Main!$L$6</f>
        <v>-32320</v>
      </c>
      <c r="H11" s="2" t="str">
        <f>[3]Main!$K$7</f>
        <v>EV</v>
      </c>
      <c r="I11" t="s">
        <v>240</v>
      </c>
      <c r="J11" s="2">
        <f>[3]Main!$L$3</f>
        <v>2511.0309999999999</v>
      </c>
      <c r="K11" s="2">
        <f>[3]Model!$AA$37</f>
        <v>264492.46738844895</v>
      </c>
      <c r="L11" s="3">
        <f>(K11/J11)/E11-1</f>
        <v>0.23920257731701788</v>
      </c>
      <c r="M11" s="3">
        <f>[3]Model!$AA$34</f>
        <v>0.02</v>
      </c>
      <c r="N11" s="3">
        <f>[3]Model!$AA$35</f>
        <v>-0.01</v>
      </c>
      <c r="O11" s="3">
        <f>[3]Model!$AA$36</f>
        <v>7.0000000000000007E-2</v>
      </c>
      <c r="P11">
        <v>1668</v>
      </c>
    </row>
    <row r="12" spans="2:16" x14ac:dyDescent="0.2">
      <c r="B12">
        <f t="shared" si="0"/>
        <v>9</v>
      </c>
      <c r="C12" t="s">
        <v>44</v>
      </c>
      <c r="D12" t="s">
        <v>120</v>
      </c>
    </row>
    <row r="13" spans="2:16" x14ac:dyDescent="0.2">
      <c r="B13">
        <f t="shared" si="0"/>
        <v>10</v>
      </c>
      <c r="C13" t="s">
        <v>33</v>
      </c>
      <c r="D13" t="s">
        <v>105</v>
      </c>
    </row>
    <row r="14" spans="2:16" x14ac:dyDescent="0.2">
      <c r="B14">
        <f t="shared" si="0"/>
        <v>11</v>
      </c>
      <c r="C14" t="s">
        <v>34</v>
      </c>
      <c r="D14" t="s">
        <v>121</v>
      </c>
    </row>
    <row r="15" spans="2:16" x14ac:dyDescent="0.2">
      <c r="B15">
        <f t="shared" si="0"/>
        <v>12</v>
      </c>
      <c r="C15" s="5" t="s">
        <v>43</v>
      </c>
      <c r="D15" t="s">
        <v>106</v>
      </c>
      <c r="E15" s="4">
        <v>113</v>
      </c>
      <c r="F15" s="2">
        <f>E15*J15</f>
        <v>140563.97700000001</v>
      </c>
      <c r="G15" s="2">
        <f>[4]Main!$M$5-[4]Main!$M$6</f>
        <v>-17085</v>
      </c>
      <c r="H15" s="2">
        <f>[4]Main!$M$7</f>
        <v>157648.97700000001</v>
      </c>
      <c r="I15" t="s">
        <v>240</v>
      </c>
      <c r="J15" s="2">
        <f>[4]Main!$M$3</f>
        <v>1243.9290000000001</v>
      </c>
      <c r="K15" s="2">
        <f>[4]Model!$AA$92</f>
        <v>170422.41718793675</v>
      </c>
      <c r="L15" s="3">
        <f>(K15/J15)/E15-1</f>
        <v>0.21241886310556479</v>
      </c>
      <c r="M15" s="3">
        <f>[4]Model!$AA$89</f>
        <v>0.02</v>
      </c>
      <c r="N15" s="3">
        <f>[4]Model!$AA$90</f>
        <v>-0.01</v>
      </c>
      <c r="O15" s="6">
        <f>[4]Model!$AA$91</f>
        <v>7.0000000000000007E-2</v>
      </c>
      <c r="P15">
        <v>1987</v>
      </c>
    </row>
    <row r="16" spans="2:16" x14ac:dyDescent="0.2">
      <c r="B16">
        <f t="shared" si="0"/>
        <v>13</v>
      </c>
      <c r="C16" t="s">
        <v>35</v>
      </c>
      <c r="D16" t="s">
        <v>122</v>
      </c>
    </row>
    <row r="17" spans="2:17" x14ac:dyDescent="0.2">
      <c r="B17">
        <f t="shared" si="0"/>
        <v>14</v>
      </c>
      <c r="C17" t="s">
        <v>42</v>
      </c>
      <c r="D17" t="s">
        <v>110</v>
      </c>
    </row>
    <row r="18" spans="2:17" x14ac:dyDescent="0.2">
      <c r="B18">
        <f t="shared" si="0"/>
        <v>15</v>
      </c>
      <c r="C18" s="5" t="s">
        <v>36</v>
      </c>
      <c r="D18" t="s">
        <v>123</v>
      </c>
      <c r="E18" s="4">
        <v>44</v>
      </c>
      <c r="F18" s="2">
        <f>E18*J18</f>
        <v>89543.51999999999</v>
      </c>
      <c r="G18" s="2">
        <f>[5]Main!$L$5-[5]Main!$L$6</f>
        <v>-39128</v>
      </c>
      <c r="H18" s="2">
        <f>[5]Main!$L$7</f>
        <v>128671.51999999999</v>
      </c>
      <c r="I18" t="s">
        <v>240</v>
      </c>
      <c r="J18" s="2">
        <f>[5]Main!$L$3</f>
        <v>2035.08</v>
      </c>
      <c r="K18" s="2">
        <f>[5]Model!$Y$48</f>
        <v>104952.78625217403</v>
      </c>
      <c r="L18" s="3">
        <f>(K18/J18)/E18-1</f>
        <v>0.17208689419596235</v>
      </c>
      <c r="M18" s="3">
        <f>[5]Model!$Y$45</f>
        <v>0.02</v>
      </c>
      <c r="N18" s="3">
        <f>[5]Model!$Y$46</f>
        <v>-0.01</v>
      </c>
      <c r="O18" s="3">
        <f>[5]Model!$Y$47</f>
        <v>0.08</v>
      </c>
      <c r="P18">
        <v>1887</v>
      </c>
    </row>
    <row r="19" spans="2:17" x14ac:dyDescent="0.2">
      <c r="B19">
        <f t="shared" si="0"/>
        <v>16</v>
      </c>
      <c r="C19" t="s">
        <v>37</v>
      </c>
      <c r="D19" t="s">
        <v>124</v>
      </c>
    </row>
    <row r="20" spans="2:17" x14ac:dyDescent="0.2">
      <c r="B20">
        <f t="shared" si="0"/>
        <v>17</v>
      </c>
      <c r="C20" t="s">
        <v>41</v>
      </c>
      <c r="D20" t="s">
        <v>125</v>
      </c>
      <c r="F20" s="2">
        <v>72000</v>
      </c>
      <c r="Q20" t="s">
        <v>448</v>
      </c>
    </row>
    <row r="21" spans="2:17" x14ac:dyDescent="0.2">
      <c r="B21">
        <f t="shared" si="0"/>
        <v>18</v>
      </c>
      <c r="C21" t="s">
        <v>38</v>
      </c>
      <c r="D21" t="s">
        <v>126</v>
      </c>
    </row>
    <row r="22" spans="2:17" x14ac:dyDescent="0.2">
      <c r="B22">
        <f t="shared" si="0"/>
        <v>19</v>
      </c>
      <c r="C22" t="s">
        <v>39</v>
      </c>
      <c r="D22" t="s">
        <v>127</v>
      </c>
    </row>
    <row r="23" spans="2:17" x14ac:dyDescent="0.2">
      <c r="B23">
        <f t="shared" si="0"/>
        <v>20</v>
      </c>
      <c r="C23" t="s">
        <v>40</v>
      </c>
      <c r="D23" t="s">
        <v>109</v>
      </c>
    </row>
    <row r="24" spans="2:17" x14ac:dyDescent="0.2">
      <c r="B24">
        <f t="shared" si="0"/>
        <v>21</v>
      </c>
      <c r="C24" t="s">
        <v>45</v>
      </c>
      <c r="D24" t="s">
        <v>128</v>
      </c>
    </row>
    <row r="25" spans="2:17" x14ac:dyDescent="0.2">
      <c r="B25">
        <f t="shared" si="0"/>
        <v>22</v>
      </c>
      <c r="C25" t="s">
        <v>46</v>
      </c>
      <c r="D25" t="s">
        <v>129</v>
      </c>
    </row>
    <row r="26" spans="2:17" x14ac:dyDescent="0.2">
      <c r="B26">
        <f t="shared" si="0"/>
        <v>23</v>
      </c>
      <c r="C26" t="s">
        <v>47</v>
      </c>
      <c r="D26" t="s">
        <v>130</v>
      </c>
    </row>
    <row r="27" spans="2:17" x14ac:dyDescent="0.2">
      <c r="B27">
        <f t="shared" si="0"/>
        <v>24</v>
      </c>
      <c r="C27" t="s">
        <v>48</v>
      </c>
      <c r="D27" t="s">
        <v>131</v>
      </c>
    </row>
    <row r="28" spans="2:17" x14ac:dyDescent="0.2">
      <c r="B28">
        <f t="shared" si="0"/>
        <v>25</v>
      </c>
      <c r="C28" t="s">
        <v>49</v>
      </c>
      <c r="D28" t="s">
        <v>132</v>
      </c>
    </row>
    <row r="29" spans="2:17" x14ac:dyDescent="0.2">
      <c r="B29">
        <f t="shared" si="0"/>
        <v>26</v>
      </c>
      <c r="C29" t="s">
        <v>50</v>
      </c>
      <c r="D29" t="s">
        <v>133</v>
      </c>
    </row>
    <row r="30" spans="2:17" x14ac:dyDescent="0.2">
      <c r="B30">
        <f t="shared" si="0"/>
        <v>27</v>
      </c>
      <c r="C30" t="s">
        <v>51</v>
      </c>
      <c r="D30" t="s">
        <v>139</v>
      </c>
    </row>
    <row r="31" spans="2:17" x14ac:dyDescent="0.2">
      <c r="B31">
        <f t="shared" si="0"/>
        <v>28</v>
      </c>
      <c r="C31" t="s">
        <v>52</v>
      </c>
      <c r="D31" t="s">
        <v>134</v>
      </c>
    </row>
    <row r="32" spans="2:17" x14ac:dyDescent="0.2">
      <c r="B32">
        <f t="shared" si="0"/>
        <v>29</v>
      </c>
      <c r="C32" t="s">
        <v>53</v>
      </c>
      <c r="D32" t="s">
        <v>135</v>
      </c>
    </row>
    <row r="33" spans="2:16" x14ac:dyDescent="0.2">
      <c r="B33">
        <f t="shared" si="0"/>
        <v>30</v>
      </c>
      <c r="C33" t="s">
        <v>54</v>
      </c>
      <c r="D33" t="s">
        <v>136</v>
      </c>
    </row>
    <row r="34" spans="2:16" x14ac:dyDescent="0.2">
      <c r="B34">
        <f t="shared" si="0"/>
        <v>31</v>
      </c>
      <c r="C34" t="s">
        <v>55</v>
      </c>
      <c r="D34" t="s">
        <v>137</v>
      </c>
    </row>
    <row r="35" spans="2:16" x14ac:dyDescent="0.2">
      <c r="B35">
        <f t="shared" si="0"/>
        <v>32</v>
      </c>
      <c r="C35" t="s">
        <v>56</v>
      </c>
      <c r="D35" t="s">
        <v>138</v>
      </c>
    </row>
    <row r="36" spans="2:16" x14ac:dyDescent="0.2">
      <c r="B36">
        <f t="shared" si="0"/>
        <v>33</v>
      </c>
      <c r="C36" t="s">
        <v>57</v>
      </c>
      <c r="D36" t="s">
        <v>140</v>
      </c>
    </row>
    <row r="37" spans="2:16" x14ac:dyDescent="0.2">
      <c r="B37">
        <f t="shared" si="0"/>
        <v>34</v>
      </c>
      <c r="C37" t="s">
        <v>58</v>
      </c>
      <c r="D37" t="s">
        <v>141</v>
      </c>
    </row>
    <row r="38" spans="2:16" x14ac:dyDescent="0.2">
      <c r="B38">
        <f t="shared" si="0"/>
        <v>35</v>
      </c>
      <c r="C38" t="s">
        <v>59</v>
      </c>
      <c r="D38" t="s">
        <v>142</v>
      </c>
    </row>
    <row r="39" spans="2:16" x14ac:dyDescent="0.2">
      <c r="B39">
        <f t="shared" si="0"/>
        <v>36</v>
      </c>
      <c r="C39" s="1" t="s">
        <v>145</v>
      </c>
      <c r="D39" t="s">
        <v>143</v>
      </c>
      <c r="E39" s="4">
        <v>112.55</v>
      </c>
      <c r="F39" s="2">
        <f>E39*J39</f>
        <v>27912.399999999998</v>
      </c>
      <c r="G39" s="2">
        <f>[6]Main!$K$5-[6]Main!$K$6</f>
        <v>12096.864</v>
      </c>
      <c r="H39" s="2">
        <f>[6]Main!$K$7</f>
        <v>15815.535999999998</v>
      </c>
      <c r="I39" t="s">
        <v>243</v>
      </c>
      <c r="J39" s="2">
        <f>[6]Main!$K$3</f>
        <v>248</v>
      </c>
      <c r="K39" s="2">
        <f>[6]Model!$V$18</f>
        <v>40109.132079243369</v>
      </c>
      <c r="L39" s="3">
        <f>K39/F39-1</f>
        <v>0.43696464937602553</v>
      </c>
      <c r="M39" s="3">
        <f>[6]Model!$V$15</f>
        <v>0.02</v>
      </c>
      <c r="N39" s="3">
        <f>[6]Model!$V$16</f>
        <v>-0.01</v>
      </c>
      <c r="O39" s="3">
        <f>[6]Model!$V$17</f>
        <v>0.08</v>
      </c>
      <c r="P39">
        <v>2008</v>
      </c>
    </row>
    <row r="40" spans="2:16" x14ac:dyDescent="0.2">
      <c r="B40">
        <f t="shared" si="0"/>
        <v>37</v>
      </c>
      <c r="C40" t="s">
        <v>60</v>
      </c>
      <c r="D40" t="s">
        <v>144</v>
      </c>
    </row>
    <row r="41" spans="2:16" x14ac:dyDescent="0.2">
      <c r="B41">
        <f t="shared" si="0"/>
        <v>38</v>
      </c>
      <c r="C41" t="s">
        <v>61</v>
      </c>
      <c r="D41" t="s">
        <v>146</v>
      </c>
    </row>
    <row r="42" spans="2:16" x14ac:dyDescent="0.2">
      <c r="B42">
        <f t="shared" si="0"/>
        <v>39</v>
      </c>
      <c r="C42" t="s">
        <v>62</v>
      </c>
      <c r="D42" t="s">
        <v>147</v>
      </c>
    </row>
    <row r="43" spans="2:16" x14ac:dyDescent="0.2">
      <c r="B43">
        <f t="shared" si="0"/>
        <v>40</v>
      </c>
      <c r="C43" t="s">
        <v>63</v>
      </c>
      <c r="D43" t="s">
        <v>148</v>
      </c>
    </row>
    <row r="44" spans="2:16" x14ac:dyDescent="0.2">
      <c r="B44">
        <f t="shared" si="0"/>
        <v>41</v>
      </c>
      <c r="C44" t="s">
        <v>64</v>
      </c>
      <c r="D44" t="s">
        <v>149</v>
      </c>
    </row>
    <row r="45" spans="2:16" x14ac:dyDescent="0.2">
      <c r="B45">
        <f t="shared" si="0"/>
        <v>42</v>
      </c>
      <c r="C45" t="s">
        <v>65</v>
      </c>
      <c r="D45" t="s">
        <v>150</v>
      </c>
    </row>
    <row r="46" spans="2:16" x14ac:dyDescent="0.2">
      <c r="B46">
        <f t="shared" si="0"/>
        <v>43</v>
      </c>
      <c r="C46" s="1" t="s">
        <v>66</v>
      </c>
      <c r="D46" t="s">
        <v>151</v>
      </c>
      <c r="E46" s="4">
        <v>27</v>
      </c>
      <c r="F46" s="2">
        <f>E46*J46</f>
        <v>20056.8609</v>
      </c>
      <c r="G46">
        <f>[7]Main!$K$5-[7]Main!$K$6</f>
        <v>298</v>
      </c>
      <c r="H46" s="2">
        <f>[7]Main!$K$7</f>
        <v>19536.006890000001</v>
      </c>
      <c r="I46" t="s">
        <v>243</v>
      </c>
      <c r="J46" s="2">
        <f>[7]Main!$K$3</f>
        <v>742.84670000000006</v>
      </c>
      <c r="K46" s="7">
        <f>[7]ivonescimab!$D$51</f>
        <v>0.09</v>
      </c>
      <c r="L46" s="3">
        <f>K46/F46-1</f>
        <v>-0.99999551275743259</v>
      </c>
      <c r="M46" s="3">
        <v>0.02</v>
      </c>
      <c r="N46" s="3">
        <v>-0.01</v>
      </c>
      <c r="O46" s="3">
        <v>0.09</v>
      </c>
      <c r="P46" s="8">
        <v>2003</v>
      </c>
    </row>
    <row r="47" spans="2:16" x14ac:dyDescent="0.2">
      <c r="B47">
        <f t="shared" si="0"/>
        <v>44</v>
      </c>
      <c r="C47" t="s">
        <v>67</v>
      </c>
      <c r="D47" t="s">
        <v>152</v>
      </c>
    </row>
    <row r="48" spans="2:16" x14ac:dyDescent="0.2">
      <c r="B48">
        <f t="shared" si="0"/>
        <v>45</v>
      </c>
      <c r="C48" t="s">
        <v>68</v>
      </c>
      <c r="D48" t="s">
        <v>153</v>
      </c>
    </row>
    <row r="49" spans="2:4" x14ac:dyDescent="0.2">
      <c r="B49">
        <f t="shared" si="0"/>
        <v>46</v>
      </c>
      <c r="C49" t="s">
        <v>69</v>
      </c>
      <c r="D49" t="s">
        <v>107</v>
      </c>
    </row>
    <row r="50" spans="2:4" x14ac:dyDescent="0.2">
      <c r="B50">
        <f t="shared" si="0"/>
        <v>47</v>
      </c>
      <c r="C50" t="s">
        <v>74</v>
      </c>
      <c r="D50" t="s">
        <v>154</v>
      </c>
    </row>
    <row r="51" spans="2:4" x14ac:dyDescent="0.2">
      <c r="B51">
        <f t="shared" si="0"/>
        <v>48</v>
      </c>
      <c r="C51" t="s">
        <v>70</v>
      </c>
      <c r="D51" t="s">
        <v>155</v>
      </c>
    </row>
    <row r="52" spans="2:4" x14ac:dyDescent="0.2">
      <c r="B52">
        <f t="shared" si="0"/>
        <v>49</v>
      </c>
      <c r="C52" t="s">
        <v>71</v>
      </c>
      <c r="D52" t="s">
        <v>156</v>
      </c>
    </row>
    <row r="53" spans="2:4" x14ac:dyDescent="0.2">
      <c r="B53">
        <f t="shared" si="0"/>
        <v>50</v>
      </c>
      <c r="C53" t="s">
        <v>72</v>
      </c>
      <c r="D53" t="s">
        <v>157</v>
      </c>
    </row>
    <row r="54" spans="2:4" x14ac:dyDescent="0.2">
      <c r="B54">
        <f t="shared" si="0"/>
        <v>51</v>
      </c>
      <c r="C54" t="s">
        <v>73</v>
      </c>
      <c r="D54" t="s">
        <v>158</v>
      </c>
    </row>
    <row r="55" spans="2:4" x14ac:dyDescent="0.2">
      <c r="B55">
        <f t="shared" si="0"/>
        <v>52</v>
      </c>
      <c r="C55" t="s">
        <v>75</v>
      </c>
      <c r="D55" t="s">
        <v>111</v>
      </c>
    </row>
    <row r="56" spans="2:4" x14ac:dyDescent="0.2">
      <c r="B56">
        <f t="shared" si="0"/>
        <v>53</v>
      </c>
      <c r="C56" t="s">
        <v>76</v>
      </c>
      <c r="D56" t="s">
        <v>159</v>
      </c>
    </row>
    <row r="57" spans="2:4" x14ac:dyDescent="0.2">
      <c r="B57">
        <f t="shared" si="0"/>
        <v>54</v>
      </c>
      <c r="C57" t="s">
        <v>77</v>
      </c>
      <c r="D57" t="s">
        <v>160</v>
      </c>
    </row>
    <row r="58" spans="2:4" x14ac:dyDescent="0.2">
      <c r="B58">
        <f t="shared" si="0"/>
        <v>55</v>
      </c>
      <c r="C58" t="s">
        <v>78</v>
      </c>
      <c r="D58" t="s">
        <v>161</v>
      </c>
    </row>
    <row r="59" spans="2:4" x14ac:dyDescent="0.2">
      <c r="B59">
        <f t="shared" si="0"/>
        <v>56</v>
      </c>
      <c r="C59" t="s">
        <v>79</v>
      </c>
      <c r="D59" t="s">
        <v>162</v>
      </c>
    </row>
    <row r="60" spans="2:4" x14ac:dyDescent="0.2">
      <c r="B60">
        <f t="shared" si="0"/>
        <v>57</v>
      </c>
      <c r="C60" t="s">
        <v>80</v>
      </c>
      <c r="D60" t="s">
        <v>163</v>
      </c>
    </row>
    <row r="61" spans="2:4" x14ac:dyDescent="0.2">
      <c r="B61">
        <f t="shared" si="0"/>
        <v>58</v>
      </c>
      <c r="C61" t="s">
        <v>81</v>
      </c>
      <c r="D61" t="s">
        <v>164</v>
      </c>
    </row>
    <row r="62" spans="2:4" x14ac:dyDescent="0.2">
      <c r="B62">
        <f t="shared" si="0"/>
        <v>59</v>
      </c>
      <c r="C62" t="s">
        <v>82</v>
      </c>
      <c r="D62" t="s">
        <v>165</v>
      </c>
    </row>
    <row r="63" spans="2:4" x14ac:dyDescent="0.2">
      <c r="B63">
        <f t="shared" si="0"/>
        <v>60</v>
      </c>
      <c r="C63" t="s">
        <v>83</v>
      </c>
      <c r="D63" t="s">
        <v>166</v>
      </c>
    </row>
    <row r="64" spans="2:4" x14ac:dyDescent="0.2">
      <c r="B64">
        <f t="shared" si="0"/>
        <v>61</v>
      </c>
      <c r="C64" t="s">
        <v>84</v>
      </c>
      <c r="D64" t="s">
        <v>167</v>
      </c>
    </row>
    <row r="65" spans="2:4" x14ac:dyDescent="0.2">
      <c r="B65">
        <f t="shared" si="0"/>
        <v>62</v>
      </c>
      <c r="C65" t="s">
        <v>85</v>
      </c>
      <c r="D65" t="s">
        <v>168</v>
      </c>
    </row>
    <row r="66" spans="2:4" x14ac:dyDescent="0.2">
      <c r="B66">
        <f t="shared" si="0"/>
        <v>63</v>
      </c>
      <c r="C66" t="s">
        <v>86</v>
      </c>
      <c r="D66" t="s">
        <v>108</v>
      </c>
    </row>
    <row r="67" spans="2:4" x14ac:dyDescent="0.2">
      <c r="B67">
        <f t="shared" si="0"/>
        <v>64</v>
      </c>
      <c r="C67" t="s">
        <v>87</v>
      </c>
      <c r="D67" t="s">
        <v>169</v>
      </c>
    </row>
    <row r="68" spans="2:4" x14ac:dyDescent="0.2">
      <c r="B68">
        <f t="shared" si="0"/>
        <v>65</v>
      </c>
      <c r="C68" t="s">
        <v>88</v>
      </c>
      <c r="D68" t="s">
        <v>170</v>
      </c>
    </row>
    <row r="69" spans="2:4" x14ac:dyDescent="0.2">
      <c r="B69">
        <f t="shared" si="0"/>
        <v>66</v>
      </c>
      <c r="C69" t="s">
        <v>89</v>
      </c>
      <c r="D69" t="s">
        <v>171</v>
      </c>
    </row>
    <row r="70" spans="2:4" x14ac:dyDescent="0.2">
      <c r="B70">
        <f t="shared" si="0"/>
        <v>67</v>
      </c>
      <c r="C70" t="s">
        <v>90</v>
      </c>
      <c r="D70" t="s">
        <v>172</v>
      </c>
    </row>
    <row r="71" spans="2:4" x14ac:dyDescent="0.2">
      <c r="B71">
        <f t="shared" ref="B71:B131" si="1">B70+1</f>
        <v>68</v>
      </c>
      <c r="C71" t="s">
        <v>91</v>
      </c>
      <c r="D71" t="s">
        <v>173</v>
      </c>
    </row>
    <row r="72" spans="2:4" x14ac:dyDescent="0.2">
      <c r="B72">
        <f t="shared" si="1"/>
        <v>69</v>
      </c>
      <c r="C72" t="s">
        <v>92</v>
      </c>
      <c r="D72" t="s">
        <v>174</v>
      </c>
    </row>
    <row r="73" spans="2:4" x14ac:dyDescent="0.2">
      <c r="B73">
        <f t="shared" si="1"/>
        <v>70</v>
      </c>
      <c r="C73" t="s">
        <v>93</v>
      </c>
      <c r="D73" t="s">
        <v>175</v>
      </c>
    </row>
    <row r="74" spans="2:4" x14ac:dyDescent="0.2">
      <c r="B74">
        <f t="shared" si="1"/>
        <v>71</v>
      </c>
      <c r="C74" t="s">
        <v>94</v>
      </c>
      <c r="D74" t="s">
        <v>176</v>
      </c>
    </row>
    <row r="75" spans="2:4" x14ac:dyDescent="0.2">
      <c r="B75">
        <f t="shared" si="1"/>
        <v>72</v>
      </c>
      <c r="C75" t="s">
        <v>95</v>
      </c>
      <c r="D75" t="s">
        <v>177</v>
      </c>
    </row>
    <row r="76" spans="2:4" x14ac:dyDescent="0.2">
      <c r="B76">
        <f t="shared" si="1"/>
        <v>73</v>
      </c>
      <c r="C76" t="s">
        <v>96</v>
      </c>
      <c r="D76" t="s">
        <v>178</v>
      </c>
    </row>
    <row r="77" spans="2:4" x14ac:dyDescent="0.2">
      <c r="B77">
        <f t="shared" si="1"/>
        <v>74</v>
      </c>
      <c r="C77" t="s">
        <v>97</v>
      </c>
      <c r="D77" t="s">
        <v>179</v>
      </c>
    </row>
    <row r="78" spans="2:4" x14ac:dyDescent="0.2">
      <c r="B78">
        <f t="shared" si="1"/>
        <v>75</v>
      </c>
      <c r="C78" t="s">
        <v>98</v>
      </c>
      <c r="D78" t="s">
        <v>180</v>
      </c>
    </row>
    <row r="79" spans="2:4" x14ac:dyDescent="0.2">
      <c r="B79">
        <f t="shared" si="1"/>
        <v>76</v>
      </c>
      <c r="C79" t="s">
        <v>99</v>
      </c>
      <c r="D79" t="s">
        <v>181</v>
      </c>
    </row>
    <row r="80" spans="2:4" x14ac:dyDescent="0.2">
      <c r="B80">
        <f t="shared" si="1"/>
        <v>77</v>
      </c>
      <c r="C80" t="s">
        <v>100</v>
      </c>
      <c r="D80" t="s">
        <v>182</v>
      </c>
    </row>
    <row r="81" spans="2:4" x14ac:dyDescent="0.2">
      <c r="B81">
        <f t="shared" si="1"/>
        <v>78</v>
      </c>
      <c r="C81" t="s">
        <v>101</v>
      </c>
      <c r="D81" t="s">
        <v>183</v>
      </c>
    </row>
    <row r="82" spans="2:4" x14ac:dyDescent="0.2">
      <c r="B82">
        <f t="shared" si="1"/>
        <v>79</v>
      </c>
      <c r="C82" t="s">
        <v>102</v>
      </c>
      <c r="D82" t="s">
        <v>185</v>
      </c>
    </row>
    <row r="83" spans="2:4" x14ac:dyDescent="0.2">
      <c r="B83">
        <f t="shared" si="1"/>
        <v>80</v>
      </c>
      <c r="C83" t="s">
        <v>103</v>
      </c>
      <c r="D83" t="s">
        <v>184</v>
      </c>
    </row>
    <row r="84" spans="2:4" x14ac:dyDescent="0.2">
      <c r="B84">
        <f t="shared" si="1"/>
        <v>81</v>
      </c>
      <c r="C84" t="s">
        <v>104</v>
      </c>
      <c r="D84" t="s">
        <v>186</v>
      </c>
    </row>
    <row r="85" spans="2:4" x14ac:dyDescent="0.2">
      <c r="B85">
        <f t="shared" si="1"/>
        <v>82</v>
      </c>
      <c r="C85" t="s">
        <v>187</v>
      </c>
      <c r="D85" t="s">
        <v>188</v>
      </c>
    </row>
    <row r="86" spans="2:4" x14ac:dyDescent="0.2">
      <c r="B86">
        <f t="shared" si="1"/>
        <v>83</v>
      </c>
      <c r="C86" t="s">
        <v>189</v>
      </c>
      <c r="D86" t="s">
        <v>190</v>
      </c>
    </row>
    <row r="87" spans="2:4" x14ac:dyDescent="0.2">
      <c r="B87">
        <f t="shared" si="1"/>
        <v>84</v>
      </c>
      <c r="C87" t="s">
        <v>192</v>
      </c>
      <c r="D87" t="s">
        <v>191</v>
      </c>
    </row>
    <row r="88" spans="2:4" x14ac:dyDescent="0.2">
      <c r="B88">
        <f t="shared" si="1"/>
        <v>85</v>
      </c>
      <c r="C88" t="s">
        <v>193</v>
      </c>
      <c r="D88" t="s">
        <v>225</v>
      </c>
    </row>
    <row r="89" spans="2:4" x14ac:dyDescent="0.2">
      <c r="B89">
        <f t="shared" si="1"/>
        <v>86</v>
      </c>
      <c r="C89" t="s">
        <v>194</v>
      </c>
      <c r="D89" t="s">
        <v>226</v>
      </c>
    </row>
    <row r="90" spans="2:4" x14ac:dyDescent="0.2">
      <c r="B90">
        <f t="shared" si="1"/>
        <v>87</v>
      </c>
      <c r="C90" t="s">
        <v>195</v>
      </c>
      <c r="D90" t="s">
        <v>227</v>
      </c>
    </row>
    <row r="91" spans="2:4" x14ac:dyDescent="0.2">
      <c r="B91">
        <f t="shared" si="1"/>
        <v>88</v>
      </c>
      <c r="C91" t="s">
        <v>196</v>
      </c>
      <c r="D91" t="s">
        <v>228</v>
      </c>
    </row>
    <row r="92" spans="2:4" x14ac:dyDescent="0.2">
      <c r="B92">
        <f t="shared" si="1"/>
        <v>89</v>
      </c>
      <c r="C92" t="s">
        <v>197</v>
      </c>
      <c r="D92" t="s">
        <v>229</v>
      </c>
    </row>
    <row r="93" spans="2:4" x14ac:dyDescent="0.2">
      <c r="B93">
        <f t="shared" si="1"/>
        <v>90</v>
      </c>
      <c r="C93" t="s">
        <v>198</v>
      </c>
      <c r="D93" t="s">
        <v>230</v>
      </c>
    </row>
    <row r="94" spans="2:4" x14ac:dyDescent="0.2">
      <c r="B94">
        <f t="shared" si="1"/>
        <v>91</v>
      </c>
      <c r="C94" t="s">
        <v>199</v>
      </c>
      <c r="D94" t="s">
        <v>231</v>
      </c>
    </row>
    <row r="95" spans="2:4" x14ac:dyDescent="0.2">
      <c r="B95">
        <f t="shared" si="1"/>
        <v>92</v>
      </c>
      <c r="C95" t="s">
        <v>200</v>
      </c>
      <c r="D95" t="s">
        <v>232</v>
      </c>
    </row>
    <row r="96" spans="2:4" x14ac:dyDescent="0.2">
      <c r="B96">
        <f t="shared" si="1"/>
        <v>93</v>
      </c>
      <c r="C96" t="s">
        <v>201</v>
      </c>
      <c r="D96" t="s">
        <v>233</v>
      </c>
    </row>
    <row r="97" spans="2:16" x14ac:dyDescent="0.2">
      <c r="B97">
        <f t="shared" si="1"/>
        <v>94</v>
      </c>
      <c r="C97" t="s">
        <v>202</v>
      </c>
      <c r="D97" t="s">
        <v>234</v>
      </c>
    </row>
    <row r="98" spans="2:16" x14ac:dyDescent="0.2">
      <c r="B98">
        <f t="shared" si="1"/>
        <v>95</v>
      </c>
      <c r="C98" t="s">
        <v>203</v>
      </c>
      <c r="D98" t="s">
        <v>235</v>
      </c>
    </row>
    <row r="99" spans="2:16" x14ac:dyDescent="0.2">
      <c r="B99">
        <f t="shared" si="1"/>
        <v>96</v>
      </c>
      <c r="C99" t="s">
        <v>204</v>
      </c>
      <c r="D99" t="s">
        <v>223</v>
      </c>
    </row>
    <row r="100" spans="2:16" x14ac:dyDescent="0.2">
      <c r="B100">
        <f t="shared" si="1"/>
        <v>97</v>
      </c>
      <c r="C100" t="s">
        <v>205</v>
      </c>
      <c r="D100" t="s">
        <v>224</v>
      </c>
    </row>
    <row r="101" spans="2:16" x14ac:dyDescent="0.2">
      <c r="B101">
        <f t="shared" si="1"/>
        <v>98</v>
      </c>
      <c r="C101" t="s">
        <v>206</v>
      </c>
      <c r="D101" t="s">
        <v>222</v>
      </c>
    </row>
    <row r="102" spans="2:16" x14ac:dyDescent="0.2">
      <c r="B102">
        <f t="shared" si="1"/>
        <v>99</v>
      </c>
      <c r="C102" t="s">
        <v>207</v>
      </c>
      <c r="D102" t="s">
        <v>219</v>
      </c>
    </row>
    <row r="103" spans="2:16" x14ac:dyDescent="0.2">
      <c r="B103">
        <f t="shared" si="1"/>
        <v>100</v>
      </c>
      <c r="C103" t="s">
        <v>208</v>
      </c>
      <c r="D103" t="s">
        <v>220</v>
      </c>
    </row>
    <row r="104" spans="2:16" x14ac:dyDescent="0.2">
      <c r="B104">
        <f t="shared" si="1"/>
        <v>101</v>
      </c>
      <c r="C104" t="s">
        <v>209</v>
      </c>
      <c r="D104" t="s">
        <v>218</v>
      </c>
    </row>
    <row r="105" spans="2:16" x14ac:dyDescent="0.2">
      <c r="B105">
        <f t="shared" si="1"/>
        <v>102</v>
      </c>
      <c r="C105" t="s">
        <v>210</v>
      </c>
      <c r="D105" t="s">
        <v>221</v>
      </c>
    </row>
    <row r="106" spans="2:16" x14ac:dyDescent="0.2">
      <c r="B106">
        <f t="shared" si="1"/>
        <v>103</v>
      </c>
      <c r="C106" t="s">
        <v>211</v>
      </c>
      <c r="D106" t="s">
        <v>217</v>
      </c>
    </row>
    <row r="107" spans="2:16" x14ac:dyDescent="0.2">
      <c r="B107">
        <f t="shared" si="1"/>
        <v>104</v>
      </c>
      <c r="C107" t="s">
        <v>212</v>
      </c>
      <c r="D107" t="s">
        <v>216</v>
      </c>
    </row>
    <row r="108" spans="2:16" x14ac:dyDescent="0.2">
      <c r="B108">
        <f t="shared" si="1"/>
        <v>105</v>
      </c>
      <c r="C108" t="s">
        <v>213</v>
      </c>
      <c r="D108" t="s">
        <v>215</v>
      </c>
    </row>
    <row r="109" spans="2:16" x14ac:dyDescent="0.2">
      <c r="B109">
        <f t="shared" si="1"/>
        <v>106</v>
      </c>
      <c r="C109" t="s">
        <v>214</v>
      </c>
      <c r="D109" t="s">
        <v>112</v>
      </c>
    </row>
    <row r="110" spans="2:16" x14ac:dyDescent="0.2">
      <c r="B110">
        <f t="shared" si="1"/>
        <v>107</v>
      </c>
      <c r="C110" s="5" t="s">
        <v>237</v>
      </c>
      <c r="D110" t="s">
        <v>236</v>
      </c>
      <c r="E110" s="4">
        <v>11.2</v>
      </c>
      <c r="F110" s="2">
        <f>E110*J110</f>
        <v>956.16639999999995</v>
      </c>
      <c r="G110" s="2">
        <f>[8]Main!$K$5-[8]Main!$K$6</f>
        <v>115.771</v>
      </c>
      <c r="H110" s="2">
        <f>[8]Main!$K$7</f>
        <v>1028.2138</v>
      </c>
      <c r="I110" t="s">
        <v>243</v>
      </c>
      <c r="J110" s="2">
        <f>[8]Main!$K$3</f>
        <v>85.372</v>
      </c>
      <c r="K110" s="2">
        <f>[8]Main!$K$5</f>
        <v>115.771</v>
      </c>
      <c r="L110" s="3">
        <f>(K110/J110)/E110-1</f>
        <v>-0.87892170233130973</v>
      </c>
      <c r="M110" s="3">
        <f>[8]Model!$R$6</f>
        <v>0.02</v>
      </c>
      <c r="N110" s="3">
        <f>[8]Model!$R$7</f>
        <v>-0.01</v>
      </c>
      <c r="O110" s="3">
        <f>[8]Model!$R$8</f>
        <v>0.09</v>
      </c>
      <c r="P110">
        <v>2004</v>
      </c>
    </row>
    <row r="111" spans="2:16" x14ac:dyDescent="0.2">
      <c r="B111">
        <f>B110+1</f>
        <v>108</v>
      </c>
      <c r="C111" s="1" t="s">
        <v>238</v>
      </c>
      <c r="D111" t="s">
        <v>239</v>
      </c>
      <c r="E111" s="4">
        <v>22</v>
      </c>
      <c r="F111" s="2">
        <f>E111*J111</f>
        <v>2162.0940000000001</v>
      </c>
      <c r="G111" s="2">
        <f>[9]Main!$K$5-[9]Main!$K$6</f>
        <v>-1194.46</v>
      </c>
      <c r="H111" s="2">
        <f>[9]Main!$K$7</f>
        <v>3356.5540000000001</v>
      </c>
      <c r="I111" t="s">
        <v>240</v>
      </c>
      <c r="J111" s="2">
        <f>[9]Main!$K$3</f>
        <v>98.277000000000001</v>
      </c>
      <c r="K111" s="2">
        <f>[9]Model!$X$20</f>
        <v>6400.0919928067269</v>
      </c>
      <c r="L111" s="3">
        <f>(K111/J111)/E111-1</f>
        <v>1.9601358649562539</v>
      </c>
      <c r="M111" s="3">
        <f>[9]Model!$X$17</f>
        <v>0.02</v>
      </c>
      <c r="N111" s="3">
        <f>[9]Model!$X$18</f>
        <v>-0.01</v>
      </c>
      <c r="O111" s="3">
        <f>[9]Model!$X$19</f>
        <v>0.09</v>
      </c>
      <c r="P111">
        <v>1980</v>
      </c>
    </row>
    <row r="112" spans="2:16" x14ac:dyDescent="0.2">
      <c r="B112">
        <f>B111+1</f>
        <v>109</v>
      </c>
      <c r="C112" s="1" t="s">
        <v>242</v>
      </c>
      <c r="D112" t="s">
        <v>241</v>
      </c>
      <c r="E112" s="4">
        <v>2.2000000000000002</v>
      </c>
      <c r="F112" s="2">
        <f>E112*J112</f>
        <v>146.35720000000001</v>
      </c>
      <c r="G112" s="2">
        <f>[10]Main!$K$6-[10]Main!$K$7</f>
        <v>70</v>
      </c>
      <c r="H112" s="2">
        <f>[10]Main!$K$8</f>
        <v>76.357200000000006</v>
      </c>
      <c r="I112" t="s">
        <v>243</v>
      </c>
      <c r="J112" s="2">
        <f>[10]Main!$K$4</f>
        <v>66.525999999999996</v>
      </c>
      <c r="K112" s="2">
        <f>[10]Main!$K$6</f>
        <v>70</v>
      </c>
      <c r="L112" s="3">
        <f>(K112/J112)/E112-1</f>
        <v>-0.52171809791387103</v>
      </c>
      <c r="P112">
        <v>1999</v>
      </c>
    </row>
    <row r="113" spans="2:12" x14ac:dyDescent="0.2">
      <c r="B113">
        <f t="shared" si="1"/>
        <v>110</v>
      </c>
      <c r="C113" t="s">
        <v>245</v>
      </c>
      <c r="D113" t="s">
        <v>244</v>
      </c>
      <c r="E113" s="4">
        <v>61.2</v>
      </c>
      <c r="F113" s="2">
        <f>E113*J113</f>
        <v>0</v>
      </c>
      <c r="L113" s="3"/>
    </row>
    <row r="114" spans="2:12" x14ac:dyDescent="0.2">
      <c r="B114">
        <f t="shared" si="1"/>
        <v>111</v>
      </c>
      <c r="C114" s="1" t="s">
        <v>443</v>
      </c>
      <c r="D114" t="s">
        <v>246</v>
      </c>
      <c r="F114" s="2">
        <v>1000</v>
      </c>
    </row>
    <row r="115" spans="2:12" x14ac:dyDescent="0.2">
      <c r="B115">
        <f t="shared" si="1"/>
        <v>112</v>
      </c>
      <c r="C115" t="s">
        <v>444</v>
      </c>
      <c r="D115" t="s">
        <v>247</v>
      </c>
      <c r="F115" s="2">
        <v>2130</v>
      </c>
    </row>
    <row r="116" spans="2:12" x14ac:dyDescent="0.2">
      <c r="B116">
        <f t="shared" si="1"/>
        <v>113</v>
      </c>
      <c r="C116" t="s">
        <v>445</v>
      </c>
      <c r="D116" t="s">
        <v>248</v>
      </c>
      <c r="F116" s="2">
        <v>1390</v>
      </c>
    </row>
    <row r="117" spans="2:12" x14ac:dyDescent="0.2">
      <c r="B117">
        <f t="shared" si="1"/>
        <v>114</v>
      </c>
      <c r="C117" t="s">
        <v>446</v>
      </c>
      <c r="D117" t="s">
        <v>249</v>
      </c>
      <c r="F117" s="2">
        <v>1070</v>
      </c>
    </row>
    <row r="118" spans="2:12" x14ac:dyDescent="0.2">
      <c r="B118">
        <f t="shared" si="1"/>
        <v>115</v>
      </c>
      <c r="C118" t="s">
        <v>447</v>
      </c>
      <c r="D118" t="s">
        <v>250</v>
      </c>
      <c r="F118" s="2">
        <v>2040</v>
      </c>
    </row>
    <row r="119" spans="2:12" x14ac:dyDescent="0.2">
      <c r="B119">
        <f t="shared" si="1"/>
        <v>116</v>
      </c>
    </row>
    <row r="120" spans="2:12" x14ac:dyDescent="0.2">
      <c r="B120">
        <f t="shared" si="1"/>
        <v>117</v>
      </c>
    </row>
    <row r="121" spans="2:12" x14ac:dyDescent="0.2">
      <c r="B121">
        <f t="shared" si="1"/>
        <v>118</v>
      </c>
    </row>
    <row r="122" spans="2:12" x14ac:dyDescent="0.2">
      <c r="B122">
        <f t="shared" si="1"/>
        <v>119</v>
      </c>
    </row>
    <row r="123" spans="2:12" x14ac:dyDescent="0.2">
      <c r="B123">
        <f t="shared" si="1"/>
        <v>120</v>
      </c>
    </row>
    <row r="124" spans="2:12" x14ac:dyDescent="0.2">
      <c r="B124">
        <f t="shared" si="1"/>
        <v>121</v>
      </c>
    </row>
    <row r="125" spans="2:12" x14ac:dyDescent="0.2">
      <c r="B125">
        <f t="shared" si="1"/>
        <v>122</v>
      </c>
    </row>
    <row r="126" spans="2:12" x14ac:dyDescent="0.2">
      <c r="B126">
        <f t="shared" si="1"/>
        <v>123</v>
      </c>
    </row>
    <row r="127" spans="2:12" x14ac:dyDescent="0.2">
      <c r="B127">
        <f t="shared" si="1"/>
        <v>124</v>
      </c>
    </row>
    <row r="128" spans="2:12" x14ac:dyDescent="0.2">
      <c r="B128">
        <f t="shared" si="1"/>
        <v>125</v>
      </c>
    </row>
    <row r="129" spans="2:2" x14ac:dyDescent="0.2">
      <c r="B129">
        <f t="shared" si="1"/>
        <v>126</v>
      </c>
    </row>
    <row r="130" spans="2:2" x14ac:dyDescent="0.2">
      <c r="B130">
        <f t="shared" si="1"/>
        <v>127</v>
      </c>
    </row>
    <row r="131" spans="2:2" x14ac:dyDescent="0.2">
      <c r="B131">
        <f t="shared" si="1"/>
        <v>128</v>
      </c>
    </row>
  </sheetData>
  <hyperlinks>
    <hyperlink ref="C4" r:id="rId1" xr:uid="{D399F4A0-DA62-40ED-8CAD-669F8BFD1E14}"/>
    <hyperlink ref="C112" r:id="rId2" display="CRDF.xlsx" xr:uid="{302536EA-C7C3-4334-9C0C-02276CC95A18}"/>
    <hyperlink ref="C6" r:id="rId3" xr:uid="{7918E348-FA13-4616-93E0-DC4AEB739892}"/>
    <hyperlink ref="C18" r:id="rId4" xr:uid="{56E9697C-0CDA-43F5-B4D8-BBFCD69FA55C}"/>
    <hyperlink ref="C11" r:id="rId5" xr:uid="{28909E0C-113B-4769-9B3B-DE3A0F0CBF3A}"/>
    <hyperlink ref="C15" r:id="rId6" xr:uid="{1B5EC1C5-D4FE-4909-8E08-9F255BE6AAC3}"/>
    <hyperlink ref="C110" r:id="rId7" xr:uid="{0C7DF959-DEE9-40DE-A923-1865C8861848}"/>
    <hyperlink ref="C111" r:id="rId8" xr:uid="{7DDA4514-7690-4C3C-8E24-54A3E69AA25E}"/>
    <hyperlink ref="C46" r:id="rId9" xr:uid="{385039E3-A799-4AA7-9730-76F3DEA74624}"/>
    <hyperlink ref="C39" r:id="rId10" xr:uid="{D07F628A-D0BE-4C2B-B559-8EAF1F113361}"/>
    <hyperlink ref="C5" r:id="rId11" xr:uid="{CD50D93B-64A5-4204-9920-7EC8CA8C2850}"/>
    <hyperlink ref="C114" r:id="rId12" xr:uid="{D8292DBC-5B64-4D38-BBD2-2D44F84447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E85D-B115-45C7-B96C-D7F476FE089A}">
  <dimension ref="A1:J18"/>
  <sheetViews>
    <sheetView zoomScale="160" zoomScaleNormal="160" workbookViewId="0">
      <selection activeCell="E20" sqref="E20"/>
    </sheetView>
  </sheetViews>
  <sheetFormatPr defaultRowHeight="12.75" x14ac:dyDescent="0.2"/>
  <cols>
    <col min="1" max="1" width="5" bestFit="1" customWidth="1"/>
  </cols>
  <sheetData>
    <row r="1" spans="1:10" x14ac:dyDescent="0.2">
      <c r="A1" s="1" t="s">
        <v>16</v>
      </c>
    </row>
    <row r="2" spans="1:10" x14ac:dyDescent="0.2">
      <c r="B2" t="s">
        <v>246</v>
      </c>
    </row>
    <row r="3" spans="1:10" x14ac:dyDescent="0.2">
      <c r="B3" t="s">
        <v>247</v>
      </c>
    </row>
    <row r="4" spans="1:10" x14ac:dyDescent="0.2">
      <c r="B4" t="s">
        <v>248</v>
      </c>
    </row>
    <row r="5" spans="1:10" x14ac:dyDescent="0.2">
      <c r="B5" t="s">
        <v>249</v>
      </c>
    </row>
    <row r="6" spans="1:10" x14ac:dyDescent="0.2">
      <c r="B6" t="s">
        <v>250</v>
      </c>
    </row>
    <row r="7" spans="1:10" x14ac:dyDescent="0.2">
      <c r="B7" t="s">
        <v>117</v>
      </c>
    </row>
    <row r="9" spans="1:10" x14ac:dyDescent="0.2">
      <c r="B9" t="s">
        <v>434</v>
      </c>
      <c r="E9" s="3"/>
    </row>
    <row r="10" spans="1:10" x14ac:dyDescent="0.2">
      <c r="B10" t="s">
        <v>435</v>
      </c>
      <c r="E10" s="3"/>
    </row>
    <row r="11" spans="1:10" x14ac:dyDescent="0.2">
      <c r="B11" t="s">
        <v>436</v>
      </c>
      <c r="E11" s="3"/>
      <c r="J11" t="s">
        <v>251</v>
      </c>
    </row>
    <row r="12" spans="1:10" x14ac:dyDescent="0.2">
      <c r="B12" t="s">
        <v>437</v>
      </c>
      <c r="E12" s="3"/>
    </row>
    <row r="13" spans="1:10" x14ac:dyDescent="0.2">
      <c r="B13" t="s">
        <v>438</v>
      </c>
      <c r="E13" s="3"/>
    </row>
    <row r="14" spans="1:10" x14ac:dyDescent="0.2">
      <c r="B14" t="s">
        <v>439</v>
      </c>
      <c r="E14" s="3"/>
    </row>
    <row r="15" spans="1:10" x14ac:dyDescent="0.2">
      <c r="B15" t="s">
        <v>440</v>
      </c>
      <c r="E15" s="3"/>
    </row>
    <row r="16" spans="1:10" x14ac:dyDescent="0.2">
      <c r="B16" t="s">
        <v>441</v>
      </c>
      <c r="E16" s="3"/>
    </row>
    <row r="17" spans="2:5" x14ac:dyDescent="0.2">
      <c r="B17" t="s">
        <v>442</v>
      </c>
      <c r="E17" s="3"/>
    </row>
    <row r="18" spans="2:5" x14ac:dyDescent="0.2">
      <c r="E18" s="3"/>
    </row>
  </sheetData>
  <hyperlinks>
    <hyperlink ref="A1" location="Main!A1" display="Main" xr:uid="{AFF631E4-02EA-4DC4-82A3-DE3A955383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AD0-6E41-4DC9-AA4F-9BFB6D36429D}">
  <dimension ref="A1:O138"/>
  <sheetViews>
    <sheetView zoomScale="115" zoomScaleNormal="115" workbookViewId="0">
      <pane xSplit="2" ySplit="2" topLeftCell="C87" activePane="bottomRight" state="frozen"/>
      <selection pane="topRight" activeCell="C1" sqref="C1"/>
      <selection pane="bottomLeft" activeCell="A3" sqref="A3"/>
      <selection pane="bottomRight" activeCell="A127" sqref="A127"/>
    </sheetView>
  </sheetViews>
  <sheetFormatPr defaultRowHeight="12.75" x14ac:dyDescent="0.2"/>
  <cols>
    <col min="1" max="1" width="5" bestFit="1" customWidth="1"/>
    <col min="2" max="2" width="21.42578125" bestFit="1" customWidth="1"/>
    <col min="3" max="3" width="20.28515625" bestFit="1" customWidth="1"/>
    <col min="6" max="6" width="14.28515625" bestFit="1" customWidth="1"/>
    <col min="9" max="9" width="12.140625" bestFit="1" customWidth="1"/>
    <col min="11" max="11" width="10.28515625" bestFit="1" customWidth="1"/>
    <col min="12" max="12" width="26.28515625" bestFit="1" customWidth="1"/>
  </cols>
  <sheetData>
    <row r="1" spans="1:15" x14ac:dyDescent="0.2">
      <c r="A1" s="1" t="s">
        <v>16</v>
      </c>
      <c r="K1" t="s">
        <v>420</v>
      </c>
      <c r="M1">
        <v>2024</v>
      </c>
    </row>
    <row r="2" spans="1:15" x14ac:dyDescent="0.2"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418</v>
      </c>
      <c r="L2" t="s">
        <v>344</v>
      </c>
      <c r="M2" t="s">
        <v>459</v>
      </c>
      <c r="N2" t="s">
        <v>602</v>
      </c>
      <c r="O2" t="s">
        <v>603</v>
      </c>
    </row>
    <row r="3" spans="1:15" x14ac:dyDescent="0.2">
      <c r="B3" t="s">
        <v>289</v>
      </c>
      <c r="C3" t="s">
        <v>338</v>
      </c>
      <c r="D3" s="12">
        <v>51</v>
      </c>
      <c r="E3" s="12" t="s">
        <v>427</v>
      </c>
      <c r="F3" s="12" t="s">
        <v>428</v>
      </c>
      <c r="G3" s="12"/>
      <c r="H3" s="12">
        <v>2002</v>
      </c>
      <c r="I3" s="12" t="s">
        <v>428</v>
      </c>
      <c r="J3" s="12"/>
      <c r="K3" s="12">
        <v>240</v>
      </c>
      <c r="L3" s="12" t="s">
        <v>385</v>
      </c>
      <c r="M3" s="13">
        <v>8993</v>
      </c>
      <c r="N3" s="12">
        <v>2002</v>
      </c>
      <c r="O3" s="12">
        <v>2023</v>
      </c>
    </row>
    <row r="4" spans="1:15" x14ac:dyDescent="0.2">
      <c r="B4" t="s">
        <v>292</v>
      </c>
      <c r="C4" t="s">
        <v>339</v>
      </c>
      <c r="D4" s="12">
        <v>1076</v>
      </c>
      <c r="E4" s="12"/>
      <c r="F4" s="12" t="s">
        <v>429</v>
      </c>
      <c r="G4" s="12"/>
      <c r="H4" s="12">
        <v>1996</v>
      </c>
      <c r="I4" s="12" t="s">
        <v>429</v>
      </c>
      <c r="J4" s="12">
        <v>558</v>
      </c>
      <c r="K4" s="12">
        <v>164</v>
      </c>
      <c r="L4" s="12" t="s">
        <v>386</v>
      </c>
      <c r="M4" s="12"/>
      <c r="N4" s="12">
        <v>1996</v>
      </c>
      <c r="O4" s="12">
        <v>2011</v>
      </c>
    </row>
    <row r="5" spans="1:15" x14ac:dyDescent="0.2">
      <c r="B5" t="s">
        <v>284</v>
      </c>
      <c r="C5" t="s">
        <v>340</v>
      </c>
      <c r="D5" s="12">
        <v>9037</v>
      </c>
      <c r="E5" s="12" t="s">
        <v>430</v>
      </c>
      <c r="F5" s="12" t="s">
        <v>428</v>
      </c>
      <c r="G5" s="12"/>
      <c r="H5" s="12">
        <v>2014</v>
      </c>
      <c r="I5" s="12" t="s">
        <v>428</v>
      </c>
      <c r="J5" s="12"/>
      <c r="K5" s="12">
        <v>150</v>
      </c>
      <c r="L5" s="12" t="s">
        <v>387</v>
      </c>
      <c r="M5" s="13">
        <v>29482</v>
      </c>
      <c r="N5" s="12">
        <v>2014</v>
      </c>
      <c r="O5" s="12">
        <v>2028</v>
      </c>
    </row>
    <row r="6" spans="1:15" x14ac:dyDescent="0.2">
      <c r="B6" t="s">
        <v>293</v>
      </c>
      <c r="C6" t="s">
        <v>341</v>
      </c>
      <c r="D6" s="12">
        <v>480</v>
      </c>
      <c r="E6" s="12"/>
      <c r="F6" s="12"/>
      <c r="G6" s="12"/>
      <c r="H6" s="12"/>
      <c r="I6" s="12"/>
      <c r="J6" s="12">
        <v>259</v>
      </c>
      <c r="K6" s="12">
        <v>130</v>
      </c>
      <c r="L6" s="12" t="s">
        <v>388</v>
      </c>
      <c r="M6" s="13">
        <v>5773</v>
      </c>
      <c r="N6" s="12"/>
      <c r="O6" s="12">
        <v>2028</v>
      </c>
    </row>
    <row r="7" spans="1:15" x14ac:dyDescent="0.2">
      <c r="B7" t="s">
        <v>290</v>
      </c>
      <c r="C7" t="s">
        <v>342</v>
      </c>
      <c r="D7" s="12">
        <v>5</v>
      </c>
      <c r="E7" s="12" t="s">
        <v>427</v>
      </c>
      <c r="F7" s="12" t="s">
        <v>431</v>
      </c>
      <c r="G7" s="12"/>
      <c r="H7" s="12"/>
      <c r="I7" s="12" t="s">
        <v>432</v>
      </c>
      <c r="J7" s="12">
        <v>934</v>
      </c>
      <c r="K7" s="12">
        <v>120</v>
      </c>
      <c r="L7" s="12" t="s">
        <v>389</v>
      </c>
      <c r="M7" s="13">
        <v>3316</v>
      </c>
      <c r="N7" s="12">
        <v>1998</v>
      </c>
      <c r="O7" s="12">
        <v>2029</v>
      </c>
    </row>
    <row r="8" spans="1:15" x14ac:dyDescent="0.2">
      <c r="B8" t="s">
        <v>294</v>
      </c>
      <c r="C8" t="s">
        <v>343</v>
      </c>
      <c r="D8" s="12">
        <v>73</v>
      </c>
      <c r="E8" s="12"/>
      <c r="F8" s="12"/>
      <c r="G8" s="12"/>
      <c r="H8" s="12"/>
      <c r="I8" s="12"/>
      <c r="J8" s="12"/>
      <c r="K8" s="12">
        <v>110</v>
      </c>
      <c r="L8" s="12" t="s">
        <v>390</v>
      </c>
      <c r="M8" s="12"/>
      <c r="N8" s="12">
        <v>1997</v>
      </c>
      <c r="O8" s="12">
        <v>2016</v>
      </c>
    </row>
    <row r="9" spans="1:15" x14ac:dyDescent="0.2">
      <c r="B9" t="s">
        <v>295</v>
      </c>
      <c r="D9" s="12"/>
      <c r="E9" s="12"/>
      <c r="F9" s="12"/>
      <c r="G9" s="12"/>
      <c r="H9" s="12"/>
      <c r="I9" s="12"/>
      <c r="J9" s="12"/>
      <c r="K9" s="12">
        <v>110</v>
      </c>
      <c r="L9" s="12" t="s">
        <v>391</v>
      </c>
      <c r="M9" s="13">
        <v>7785</v>
      </c>
      <c r="N9" s="12">
        <v>2021</v>
      </c>
      <c r="O9" s="12"/>
    </row>
    <row r="10" spans="1:15" x14ac:dyDescent="0.2">
      <c r="B10" t="s">
        <v>296</v>
      </c>
      <c r="C10" t="s">
        <v>345</v>
      </c>
      <c r="D10" s="12"/>
      <c r="E10" s="12"/>
      <c r="F10" s="12"/>
      <c r="G10" s="12"/>
      <c r="H10" s="12"/>
      <c r="I10" s="12"/>
      <c r="J10" s="12"/>
      <c r="K10" s="12">
        <v>95</v>
      </c>
      <c r="L10" s="12" t="s">
        <v>387</v>
      </c>
      <c r="M10" s="12"/>
      <c r="N10" s="12">
        <v>2004</v>
      </c>
      <c r="O10" s="12">
        <v>2028</v>
      </c>
    </row>
    <row r="11" spans="1:15" x14ac:dyDescent="0.2">
      <c r="B11" t="s">
        <v>291</v>
      </c>
      <c r="C11" t="s">
        <v>346</v>
      </c>
      <c r="D11" s="12"/>
      <c r="E11" s="12" t="s">
        <v>427</v>
      </c>
      <c r="F11" s="12"/>
      <c r="G11" s="12"/>
      <c r="H11" s="12"/>
      <c r="I11" s="12"/>
      <c r="J11" s="12"/>
      <c r="K11" s="12">
        <v>90.3</v>
      </c>
      <c r="L11" s="12" t="s">
        <v>385</v>
      </c>
      <c r="M11" s="12"/>
      <c r="N11" s="12"/>
      <c r="O11" s="12">
        <v>2018</v>
      </c>
    </row>
    <row r="12" spans="1:15" x14ac:dyDescent="0.2">
      <c r="B12" t="s">
        <v>297</v>
      </c>
      <c r="C12" t="s">
        <v>347</v>
      </c>
      <c r="D12" s="12"/>
      <c r="E12" s="12"/>
      <c r="F12" s="12"/>
      <c r="G12" s="12"/>
      <c r="H12" s="12"/>
      <c r="I12" s="12"/>
      <c r="J12" s="12"/>
      <c r="K12" s="12">
        <v>85</v>
      </c>
      <c r="L12" s="12" t="s">
        <v>392</v>
      </c>
      <c r="M12" s="12"/>
      <c r="N12" s="12"/>
      <c r="O12" s="12">
        <v>2019</v>
      </c>
    </row>
    <row r="13" spans="1:15" x14ac:dyDescent="0.2">
      <c r="B13" t="s">
        <v>298</v>
      </c>
      <c r="C13" t="s">
        <v>348</v>
      </c>
      <c r="D13" s="12"/>
      <c r="E13" s="12"/>
      <c r="F13" s="12"/>
      <c r="G13" s="12"/>
      <c r="H13" s="12"/>
      <c r="I13" s="12"/>
      <c r="J13" s="12"/>
      <c r="K13" s="12">
        <v>83.7</v>
      </c>
      <c r="L13" s="12" t="s">
        <v>393</v>
      </c>
      <c r="M13" s="12"/>
      <c r="N13" s="12">
        <v>1997</v>
      </c>
      <c r="O13" s="12">
        <v>2012</v>
      </c>
    </row>
    <row r="14" spans="1:15" x14ac:dyDescent="0.2">
      <c r="B14" t="s">
        <v>288</v>
      </c>
      <c r="C14" t="s">
        <v>349</v>
      </c>
      <c r="D14" s="12"/>
      <c r="E14" s="12"/>
      <c r="F14" s="12"/>
      <c r="G14" s="12"/>
      <c r="H14" s="12"/>
      <c r="I14" s="12"/>
      <c r="J14" s="12"/>
      <c r="K14" s="12">
        <v>80</v>
      </c>
      <c r="L14" s="12" t="s">
        <v>394</v>
      </c>
      <c r="M14" s="13">
        <v>20703</v>
      </c>
      <c r="N14" s="12">
        <v>2012</v>
      </c>
      <c r="O14" s="12">
        <v>2026</v>
      </c>
    </row>
    <row r="15" spans="1:15" x14ac:dyDescent="0.2">
      <c r="B15" t="s">
        <v>299</v>
      </c>
      <c r="D15" s="12"/>
      <c r="E15" s="12"/>
      <c r="F15" s="12"/>
      <c r="G15" s="12"/>
      <c r="H15" s="12"/>
      <c r="I15" s="12"/>
      <c r="J15" s="12"/>
      <c r="K15" s="12">
        <v>80</v>
      </c>
      <c r="L15" s="12" t="s">
        <v>395</v>
      </c>
      <c r="M15" s="12"/>
      <c r="N15" s="12">
        <v>2000</v>
      </c>
      <c r="O15" s="12">
        <v>2010</v>
      </c>
    </row>
    <row r="16" spans="1:15" x14ac:dyDescent="0.2">
      <c r="B16" t="s">
        <v>300</v>
      </c>
      <c r="C16" t="s">
        <v>350</v>
      </c>
      <c r="D16" s="12"/>
      <c r="E16" s="12"/>
      <c r="F16" s="12"/>
      <c r="G16" s="12"/>
      <c r="H16" s="12"/>
      <c r="I16" s="12"/>
      <c r="J16" s="12"/>
      <c r="K16" s="12">
        <v>75</v>
      </c>
      <c r="L16" s="12" t="s">
        <v>396</v>
      </c>
      <c r="M16" s="12"/>
      <c r="N16" s="12">
        <v>2000</v>
      </c>
      <c r="O16" s="12">
        <v>2015</v>
      </c>
    </row>
    <row r="17" spans="2:15" x14ac:dyDescent="0.2">
      <c r="B17" t="s">
        <v>301</v>
      </c>
      <c r="C17" t="s">
        <v>426</v>
      </c>
      <c r="D17" s="12"/>
      <c r="E17" s="12"/>
      <c r="F17" s="12"/>
      <c r="G17" s="12"/>
      <c r="H17" s="12"/>
      <c r="I17" s="12"/>
      <c r="J17" s="12"/>
      <c r="K17" s="12">
        <v>70</v>
      </c>
      <c r="L17" s="12" t="s">
        <v>397</v>
      </c>
      <c r="M17" s="13">
        <v>13423</v>
      </c>
      <c r="N17" s="12">
        <v>2018</v>
      </c>
      <c r="O17" s="12">
        <v>2036</v>
      </c>
    </row>
    <row r="18" spans="2:15" x14ac:dyDescent="0.2">
      <c r="B18" t="s">
        <v>302</v>
      </c>
      <c r="C18" t="s">
        <v>351</v>
      </c>
      <c r="D18" s="12"/>
      <c r="E18" s="12"/>
      <c r="F18" s="12"/>
      <c r="G18" s="12"/>
      <c r="H18" s="12"/>
      <c r="I18" s="12"/>
      <c r="J18" s="12"/>
      <c r="K18" s="12">
        <v>70</v>
      </c>
      <c r="L18" s="12" t="s">
        <v>398</v>
      </c>
      <c r="M18" s="13">
        <v>9546</v>
      </c>
      <c r="N18" s="12">
        <v>2011</v>
      </c>
      <c r="O18" s="12">
        <v>2024</v>
      </c>
    </row>
    <row r="19" spans="2:15" x14ac:dyDescent="0.2">
      <c r="B19" t="s">
        <v>303</v>
      </c>
      <c r="C19" t="s">
        <v>352</v>
      </c>
      <c r="D19" s="12"/>
      <c r="E19" s="12"/>
      <c r="F19" s="12"/>
      <c r="G19" s="12"/>
      <c r="H19" s="12"/>
      <c r="I19" s="12"/>
      <c r="J19" s="12"/>
      <c r="K19" s="12">
        <v>70</v>
      </c>
      <c r="L19" s="12" t="s">
        <v>419</v>
      </c>
      <c r="M19" s="13">
        <v>10361</v>
      </c>
      <c r="N19" s="12"/>
      <c r="O19" s="12">
        <v>2023</v>
      </c>
    </row>
    <row r="20" spans="2:15" x14ac:dyDescent="0.2">
      <c r="B20" t="s">
        <v>304</v>
      </c>
      <c r="C20" t="s">
        <v>353</v>
      </c>
      <c r="D20" s="12"/>
      <c r="E20" s="12"/>
      <c r="F20" s="12"/>
      <c r="G20" s="12"/>
      <c r="H20" s="12"/>
      <c r="I20" s="12"/>
      <c r="J20" s="12"/>
      <c r="K20" s="12">
        <v>65</v>
      </c>
      <c r="L20" s="12" t="s">
        <v>399</v>
      </c>
      <c r="M20" s="12"/>
      <c r="N20" s="12">
        <v>2006</v>
      </c>
      <c r="O20" s="12">
        <v>2029</v>
      </c>
    </row>
    <row r="21" spans="2:15" x14ac:dyDescent="0.2">
      <c r="B21" t="s">
        <v>305</v>
      </c>
      <c r="C21" t="s">
        <v>354</v>
      </c>
      <c r="D21" s="12"/>
      <c r="E21" s="12"/>
      <c r="F21" s="12"/>
      <c r="G21" s="12"/>
      <c r="H21" s="12"/>
      <c r="I21" s="12"/>
      <c r="J21" s="12"/>
      <c r="K21" s="12">
        <v>65</v>
      </c>
      <c r="L21" s="12" t="s">
        <v>387</v>
      </c>
      <c r="M21" s="13">
        <v>9304</v>
      </c>
      <c r="N21" s="12">
        <v>2014</v>
      </c>
      <c r="O21" s="12">
        <v>2028</v>
      </c>
    </row>
    <row r="22" spans="2:15" x14ac:dyDescent="0.2">
      <c r="B22" t="s">
        <v>285</v>
      </c>
      <c r="C22" t="s">
        <v>355</v>
      </c>
      <c r="D22" s="12"/>
      <c r="E22" s="12"/>
      <c r="F22" s="12"/>
      <c r="G22" s="12"/>
      <c r="H22" s="12"/>
      <c r="I22" s="12"/>
      <c r="J22" s="12"/>
      <c r="K22" s="12">
        <v>60</v>
      </c>
      <c r="L22" s="12" t="s">
        <v>399</v>
      </c>
      <c r="M22" s="13">
        <v>17451</v>
      </c>
      <c r="N22" s="12">
        <v>2017</v>
      </c>
      <c r="O22" s="12">
        <v>2031</v>
      </c>
    </row>
    <row r="23" spans="2:15" x14ac:dyDescent="0.2">
      <c r="B23" t="s">
        <v>306</v>
      </c>
      <c r="C23" t="s">
        <v>356</v>
      </c>
      <c r="D23" s="12"/>
      <c r="E23" s="12"/>
      <c r="F23" s="12"/>
      <c r="G23" s="12"/>
      <c r="H23" s="12"/>
      <c r="I23" s="12"/>
      <c r="J23" s="12"/>
      <c r="K23" s="12">
        <v>60</v>
      </c>
      <c r="L23" s="12" t="s">
        <v>400</v>
      </c>
      <c r="M23" s="13">
        <v>6411</v>
      </c>
      <c r="N23" s="12">
        <v>2021</v>
      </c>
      <c r="O23" s="12"/>
    </row>
    <row r="24" spans="2:15" x14ac:dyDescent="0.2">
      <c r="B24" t="s">
        <v>307</v>
      </c>
      <c r="C24" t="s">
        <v>360</v>
      </c>
      <c r="D24" s="12"/>
      <c r="E24" s="12"/>
      <c r="F24" s="12"/>
      <c r="G24" s="12"/>
      <c r="H24" s="12"/>
      <c r="I24" s="12"/>
      <c r="J24" s="12"/>
      <c r="K24" s="12">
        <v>55</v>
      </c>
      <c r="L24" s="12" t="s">
        <v>485</v>
      </c>
      <c r="M24" s="12"/>
      <c r="N24" s="12">
        <v>2014</v>
      </c>
      <c r="O24" s="12">
        <v>2034</v>
      </c>
    </row>
    <row r="25" spans="2:15" x14ac:dyDescent="0.2">
      <c r="B25" t="s">
        <v>308</v>
      </c>
      <c r="D25" s="12"/>
      <c r="E25" s="12"/>
      <c r="F25" s="12"/>
      <c r="G25" s="12"/>
      <c r="H25" s="12"/>
      <c r="I25" s="12"/>
      <c r="J25" s="12"/>
      <c r="K25" s="12">
        <v>55</v>
      </c>
      <c r="L25" s="12" t="s">
        <v>401</v>
      </c>
      <c r="M25" s="13">
        <v>8583</v>
      </c>
      <c r="N25" s="12">
        <v>2006</v>
      </c>
      <c r="O25" s="12">
        <v>2028</v>
      </c>
    </row>
    <row r="26" spans="2:15" x14ac:dyDescent="0.2">
      <c r="B26" t="s">
        <v>309</v>
      </c>
      <c r="C26" t="s">
        <v>357</v>
      </c>
      <c r="D26" s="12"/>
      <c r="E26" s="12"/>
      <c r="F26" s="12"/>
      <c r="G26" s="12"/>
      <c r="H26" s="12"/>
      <c r="I26" s="12"/>
      <c r="J26" s="12"/>
      <c r="K26" s="12">
        <v>52</v>
      </c>
      <c r="L26" s="12" t="s">
        <v>402</v>
      </c>
      <c r="M26" s="12"/>
      <c r="N26" s="12">
        <v>2004</v>
      </c>
      <c r="O26" s="12">
        <v>2019</v>
      </c>
    </row>
    <row r="27" spans="2:15" x14ac:dyDescent="0.2">
      <c r="B27" t="s">
        <v>310</v>
      </c>
      <c r="C27" t="s">
        <v>358</v>
      </c>
      <c r="D27" s="12"/>
      <c r="E27" s="12"/>
      <c r="F27" s="12"/>
      <c r="G27" s="12"/>
      <c r="H27" s="12"/>
      <c r="I27" s="12"/>
      <c r="J27" s="12"/>
      <c r="K27" s="12">
        <v>50</v>
      </c>
      <c r="L27" s="12" t="s">
        <v>394</v>
      </c>
      <c r="M27" s="13">
        <v>5600</v>
      </c>
      <c r="N27" s="12"/>
      <c r="O27" s="12">
        <v>2039</v>
      </c>
    </row>
    <row r="28" spans="2:15" x14ac:dyDescent="0.2">
      <c r="B28" t="s">
        <v>311</v>
      </c>
      <c r="C28" t="s">
        <v>359</v>
      </c>
      <c r="D28" s="12"/>
      <c r="E28" s="12"/>
      <c r="F28" s="12"/>
      <c r="G28" s="12"/>
      <c r="H28" s="12"/>
      <c r="I28" s="12"/>
      <c r="J28" s="12"/>
      <c r="K28" s="12">
        <v>50</v>
      </c>
      <c r="L28" s="12" t="s">
        <v>403</v>
      </c>
      <c r="M28" s="13">
        <v>14147</v>
      </c>
      <c r="N28" s="12">
        <v>2017</v>
      </c>
      <c r="O28" s="12">
        <v>2037</v>
      </c>
    </row>
    <row r="29" spans="2:15" x14ac:dyDescent="0.2">
      <c r="B29" t="s">
        <v>312</v>
      </c>
      <c r="C29" t="s">
        <v>361</v>
      </c>
      <c r="D29" s="12"/>
      <c r="E29" s="12"/>
      <c r="F29" s="12"/>
      <c r="G29" s="12"/>
      <c r="H29" s="12"/>
      <c r="I29" s="12"/>
      <c r="J29" s="12"/>
      <c r="K29" s="12">
        <v>50</v>
      </c>
      <c r="L29" s="12" t="s">
        <v>404</v>
      </c>
      <c r="M29" s="13">
        <v>3347</v>
      </c>
      <c r="N29" s="12"/>
      <c r="O29" s="12">
        <v>2039</v>
      </c>
    </row>
    <row r="30" spans="2:15" x14ac:dyDescent="0.2">
      <c r="B30" t="s">
        <v>313</v>
      </c>
      <c r="C30" t="s">
        <v>362</v>
      </c>
      <c r="D30" s="12"/>
      <c r="E30" s="12"/>
      <c r="F30" s="12"/>
      <c r="G30" s="12"/>
      <c r="H30" s="12"/>
      <c r="I30" s="12"/>
      <c r="J30" s="12"/>
      <c r="K30" s="12">
        <v>50</v>
      </c>
      <c r="L30" s="12" t="s">
        <v>388</v>
      </c>
      <c r="M30" s="13">
        <v>11670</v>
      </c>
      <c r="N30" s="12"/>
      <c r="O30" s="12">
        <v>2029</v>
      </c>
    </row>
    <row r="31" spans="2:15" x14ac:dyDescent="0.2">
      <c r="B31" t="s">
        <v>314</v>
      </c>
      <c r="C31" t="s">
        <v>363</v>
      </c>
      <c r="D31" s="12"/>
      <c r="E31" s="12"/>
      <c r="F31" s="12"/>
      <c r="G31" s="12"/>
      <c r="H31" s="12"/>
      <c r="I31" s="12"/>
      <c r="J31" s="12"/>
      <c r="K31" s="12">
        <v>46</v>
      </c>
      <c r="L31" s="12" t="s">
        <v>485</v>
      </c>
      <c r="M31" s="12"/>
      <c r="N31" s="12">
        <v>2013</v>
      </c>
      <c r="O31" s="12">
        <v>2031</v>
      </c>
    </row>
    <row r="32" spans="2:15" x14ac:dyDescent="0.2">
      <c r="B32" t="s">
        <v>315</v>
      </c>
      <c r="D32" s="12"/>
      <c r="E32" s="12"/>
      <c r="F32" s="12"/>
      <c r="G32" s="12"/>
      <c r="H32" s="12"/>
      <c r="I32" s="12"/>
      <c r="J32" s="12"/>
      <c r="K32" s="12">
        <v>45</v>
      </c>
      <c r="L32" s="12" t="s">
        <v>399</v>
      </c>
      <c r="M32" s="13">
        <v>12385</v>
      </c>
      <c r="N32" s="12">
        <v>2014</v>
      </c>
      <c r="O32" s="12">
        <v>2034</v>
      </c>
    </row>
    <row r="33" spans="2:15" x14ac:dyDescent="0.2">
      <c r="B33" t="s">
        <v>287</v>
      </c>
      <c r="C33" t="s">
        <v>364</v>
      </c>
      <c r="D33" s="12"/>
      <c r="E33" s="12"/>
      <c r="F33" s="12"/>
      <c r="G33" s="12"/>
      <c r="H33" s="12"/>
      <c r="I33" s="12"/>
      <c r="J33" s="12"/>
      <c r="K33" s="12">
        <v>40</v>
      </c>
      <c r="L33" s="12" t="s">
        <v>399</v>
      </c>
      <c r="M33" s="13">
        <v>5254</v>
      </c>
      <c r="N33" s="12">
        <v>2014</v>
      </c>
      <c r="O33" s="12">
        <v>2027</v>
      </c>
    </row>
    <row r="34" spans="2:15" x14ac:dyDescent="0.2">
      <c r="B34" t="s">
        <v>316</v>
      </c>
      <c r="C34" t="s">
        <v>365</v>
      </c>
      <c r="D34" s="12"/>
      <c r="E34" s="12"/>
      <c r="F34" s="12"/>
      <c r="G34" s="12"/>
      <c r="H34" s="12"/>
      <c r="I34" s="12"/>
      <c r="J34" s="12"/>
      <c r="K34" s="12">
        <v>40</v>
      </c>
      <c r="L34" s="12" t="s">
        <v>405</v>
      </c>
      <c r="M34" s="13">
        <v>6141</v>
      </c>
      <c r="N34" s="12">
        <v>2015</v>
      </c>
      <c r="O34" s="12">
        <v>2026</v>
      </c>
    </row>
    <row r="35" spans="2:15" x14ac:dyDescent="0.2">
      <c r="B35" t="s">
        <v>317</v>
      </c>
      <c r="C35" t="s">
        <v>366</v>
      </c>
      <c r="D35" s="12"/>
      <c r="E35" s="12"/>
      <c r="F35" s="12"/>
      <c r="G35" s="12"/>
      <c r="H35" s="12"/>
      <c r="I35" s="12"/>
      <c r="J35" s="12"/>
      <c r="K35" s="12">
        <v>40</v>
      </c>
      <c r="L35" s="12" t="s">
        <v>392</v>
      </c>
      <c r="M35" s="13">
        <v>4367</v>
      </c>
      <c r="N35" s="12">
        <v>2015</v>
      </c>
      <c r="O35" s="12">
        <v>2027</v>
      </c>
    </row>
    <row r="36" spans="2:15" x14ac:dyDescent="0.2">
      <c r="B36" t="s">
        <v>318</v>
      </c>
      <c r="C36" t="s">
        <v>367</v>
      </c>
      <c r="D36" s="12"/>
      <c r="E36" s="12"/>
      <c r="F36" s="12"/>
      <c r="G36" s="12"/>
      <c r="H36" s="12"/>
      <c r="I36" s="12"/>
      <c r="J36" s="12"/>
      <c r="K36" s="12">
        <v>35</v>
      </c>
      <c r="L36" s="12" t="s">
        <v>405</v>
      </c>
      <c r="M36" s="13">
        <v>11718</v>
      </c>
      <c r="N36" s="12">
        <v>2019</v>
      </c>
      <c r="O36" s="12"/>
    </row>
    <row r="37" spans="2:15" x14ac:dyDescent="0.2">
      <c r="B37" t="s">
        <v>319</v>
      </c>
      <c r="C37" t="s">
        <v>368</v>
      </c>
      <c r="D37" s="12"/>
      <c r="E37" s="12"/>
      <c r="F37" s="12"/>
      <c r="G37" s="12"/>
      <c r="H37" s="12"/>
      <c r="I37" s="12"/>
      <c r="J37" s="12"/>
      <c r="K37" s="12">
        <v>35</v>
      </c>
      <c r="L37" s="12" t="s">
        <v>406</v>
      </c>
      <c r="M37" s="13">
        <v>4022</v>
      </c>
      <c r="N37" s="12">
        <v>2003</v>
      </c>
      <c r="O37" s="12">
        <v>2025</v>
      </c>
    </row>
    <row r="38" spans="2:15" x14ac:dyDescent="0.2">
      <c r="B38" t="s">
        <v>320</v>
      </c>
      <c r="C38" t="s">
        <v>369</v>
      </c>
      <c r="D38" s="12"/>
      <c r="E38" s="12"/>
      <c r="F38" s="12"/>
      <c r="G38" s="12"/>
      <c r="H38" s="12"/>
      <c r="I38" s="12"/>
      <c r="J38" s="12"/>
      <c r="K38" s="12">
        <v>35</v>
      </c>
      <c r="L38" s="12" t="s">
        <v>407</v>
      </c>
      <c r="M38" s="13">
        <v>7655</v>
      </c>
      <c r="N38" s="12"/>
      <c r="O38" s="12">
        <v>2026</v>
      </c>
    </row>
    <row r="39" spans="2:15" x14ac:dyDescent="0.2">
      <c r="B39" t="s">
        <v>321</v>
      </c>
      <c r="C39" t="s">
        <v>370</v>
      </c>
      <c r="D39" s="12"/>
      <c r="E39" s="12"/>
      <c r="F39" s="12"/>
      <c r="G39" s="12"/>
      <c r="H39" s="12"/>
      <c r="I39" s="12"/>
      <c r="J39" s="12"/>
      <c r="K39" s="12">
        <v>35</v>
      </c>
      <c r="L39" s="12" t="s">
        <v>408</v>
      </c>
      <c r="M39" s="13">
        <v>7656</v>
      </c>
      <c r="N39" s="12">
        <v>2017</v>
      </c>
      <c r="O39" s="12">
        <v>2029</v>
      </c>
    </row>
    <row r="40" spans="2:15" x14ac:dyDescent="0.2">
      <c r="B40" t="s">
        <v>322</v>
      </c>
      <c r="D40" s="12"/>
      <c r="E40" s="12"/>
      <c r="F40" s="12"/>
      <c r="G40" s="12"/>
      <c r="H40" s="12"/>
      <c r="I40" s="12"/>
      <c r="J40" s="12"/>
      <c r="K40" s="12">
        <v>35</v>
      </c>
      <c r="L40" s="12" t="s">
        <v>409</v>
      </c>
      <c r="M40" s="13">
        <v>5716</v>
      </c>
      <c r="N40" s="12">
        <v>2014</v>
      </c>
      <c r="O40" s="12">
        <v>2025</v>
      </c>
    </row>
    <row r="41" spans="2:15" x14ac:dyDescent="0.2">
      <c r="B41" t="s">
        <v>323</v>
      </c>
      <c r="C41" t="s">
        <v>371</v>
      </c>
      <c r="D41" s="12"/>
      <c r="E41" s="12"/>
      <c r="F41" s="12"/>
      <c r="G41" s="12"/>
      <c r="H41" s="12"/>
      <c r="I41" s="12"/>
      <c r="J41" s="12"/>
      <c r="K41" s="12">
        <v>30</v>
      </c>
      <c r="L41" s="12" t="s">
        <v>410</v>
      </c>
      <c r="M41" s="13">
        <v>5380</v>
      </c>
      <c r="N41" s="12">
        <v>2021</v>
      </c>
      <c r="O41" s="12">
        <v>2037</v>
      </c>
    </row>
    <row r="42" spans="2:15" x14ac:dyDescent="0.2">
      <c r="B42" t="s">
        <v>324</v>
      </c>
      <c r="C42" t="s">
        <v>372</v>
      </c>
      <c r="D42" s="12"/>
      <c r="E42" s="12"/>
      <c r="F42" s="12"/>
      <c r="G42" s="12"/>
      <c r="H42" s="12"/>
      <c r="I42" s="12"/>
      <c r="J42" s="12"/>
      <c r="K42" s="12">
        <v>30</v>
      </c>
      <c r="L42" s="12" t="s">
        <v>392</v>
      </c>
      <c r="M42" s="13">
        <v>4104</v>
      </c>
      <c r="N42" s="12">
        <v>2012</v>
      </c>
      <c r="O42" s="12">
        <v>2028</v>
      </c>
    </row>
    <row r="43" spans="2:15" x14ac:dyDescent="0.2">
      <c r="B43" t="s">
        <v>325</v>
      </c>
      <c r="C43" t="s">
        <v>373</v>
      </c>
      <c r="D43" s="12"/>
      <c r="E43" s="12"/>
      <c r="F43" s="12"/>
      <c r="G43" s="12"/>
      <c r="H43" s="12"/>
      <c r="I43" s="12"/>
      <c r="J43" s="12"/>
      <c r="K43" s="12">
        <v>30</v>
      </c>
      <c r="L43" s="12" t="s">
        <v>389</v>
      </c>
      <c r="M43" s="13">
        <v>3682</v>
      </c>
      <c r="N43" s="12">
        <v>2005</v>
      </c>
      <c r="O43" s="12">
        <v>2025</v>
      </c>
    </row>
    <row r="44" spans="2:15" x14ac:dyDescent="0.2">
      <c r="B44" t="s">
        <v>326</v>
      </c>
      <c r="C44" t="s">
        <v>374</v>
      </c>
      <c r="D44" s="12"/>
      <c r="E44" s="12"/>
      <c r="F44" s="12"/>
      <c r="G44" s="12"/>
      <c r="H44" s="12"/>
      <c r="I44" s="12"/>
      <c r="J44" s="12"/>
      <c r="K44" s="12">
        <v>30</v>
      </c>
      <c r="L44" s="12" t="s">
        <v>411</v>
      </c>
      <c r="M44" s="13">
        <v>7882</v>
      </c>
      <c r="N44" s="12">
        <v>2015</v>
      </c>
      <c r="O44" s="12">
        <v>2030</v>
      </c>
    </row>
    <row r="45" spans="2:15" x14ac:dyDescent="0.2">
      <c r="B45" t="s">
        <v>327</v>
      </c>
      <c r="C45" t="s">
        <v>375</v>
      </c>
      <c r="D45" s="12"/>
      <c r="E45" s="12"/>
      <c r="F45" s="12"/>
      <c r="G45" s="12"/>
      <c r="H45" s="12"/>
      <c r="I45" s="12"/>
      <c r="J45" s="12"/>
      <c r="K45" s="12">
        <v>25</v>
      </c>
      <c r="L45" s="12" t="s">
        <v>412</v>
      </c>
      <c r="M45" s="13">
        <v>6580</v>
      </c>
      <c r="N45" s="12">
        <v>2015</v>
      </c>
      <c r="O45" s="12">
        <v>2033</v>
      </c>
    </row>
    <row r="46" spans="2:15" x14ac:dyDescent="0.2">
      <c r="B46" t="s">
        <v>328</v>
      </c>
      <c r="C46" t="s">
        <v>376</v>
      </c>
      <c r="D46" s="12"/>
      <c r="E46" s="12"/>
      <c r="F46" s="12"/>
      <c r="G46" s="12"/>
      <c r="H46" s="12"/>
      <c r="I46" s="12"/>
      <c r="J46" s="12"/>
      <c r="K46" s="12">
        <v>25</v>
      </c>
      <c r="L46" s="12" t="s">
        <v>392</v>
      </c>
      <c r="M46" s="13">
        <v>5307</v>
      </c>
      <c r="N46" s="12">
        <v>2017</v>
      </c>
      <c r="O46" s="12">
        <v>2029</v>
      </c>
    </row>
    <row r="47" spans="2:15" x14ac:dyDescent="0.2">
      <c r="B47" t="s">
        <v>329</v>
      </c>
      <c r="C47" t="s">
        <v>377</v>
      </c>
      <c r="D47" s="12"/>
      <c r="E47" s="12"/>
      <c r="F47" s="12"/>
      <c r="G47" s="12"/>
      <c r="H47" s="12"/>
      <c r="I47" s="12"/>
      <c r="J47" s="12"/>
      <c r="K47" s="12">
        <v>25</v>
      </c>
      <c r="L47" s="12" t="s">
        <v>387</v>
      </c>
      <c r="M47" s="13">
        <v>4717</v>
      </c>
      <c r="N47" s="12">
        <v>2017</v>
      </c>
      <c r="O47" s="12">
        <v>2035</v>
      </c>
    </row>
    <row r="48" spans="2:15" x14ac:dyDescent="0.2">
      <c r="B48" t="s">
        <v>330</v>
      </c>
      <c r="D48" s="12"/>
      <c r="E48" s="12"/>
      <c r="F48" s="12"/>
      <c r="G48" s="12"/>
      <c r="H48" s="12"/>
      <c r="I48" s="12"/>
      <c r="J48" s="12"/>
      <c r="K48" s="12">
        <v>25</v>
      </c>
      <c r="L48" s="12" t="s">
        <v>413</v>
      </c>
      <c r="M48" s="13">
        <v>10238</v>
      </c>
      <c r="N48" s="12">
        <v>2019</v>
      </c>
      <c r="O48" s="12">
        <v>2035</v>
      </c>
    </row>
    <row r="49" spans="2:15" x14ac:dyDescent="0.2">
      <c r="B49" t="s">
        <v>331</v>
      </c>
      <c r="C49" t="s">
        <v>378</v>
      </c>
      <c r="D49" s="12"/>
      <c r="E49" s="12"/>
      <c r="F49" s="12"/>
      <c r="G49" s="12"/>
      <c r="H49" s="12"/>
      <c r="I49" s="12"/>
      <c r="J49" s="12"/>
      <c r="K49" s="12">
        <v>25</v>
      </c>
      <c r="L49" s="12" t="s">
        <v>414</v>
      </c>
      <c r="M49" s="13">
        <v>4374</v>
      </c>
      <c r="N49" s="12">
        <v>2010</v>
      </c>
      <c r="O49" s="12">
        <v>2029</v>
      </c>
    </row>
    <row r="50" spans="2:15" x14ac:dyDescent="0.2">
      <c r="B50" t="s">
        <v>332</v>
      </c>
      <c r="C50" t="s">
        <v>379</v>
      </c>
      <c r="D50" s="12"/>
      <c r="E50" s="12"/>
      <c r="F50" s="12"/>
      <c r="G50" s="12"/>
      <c r="H50" s="12"/>
      <c r="I50" s="12"/>
      <c r="J50" s="12"/>
      <c r="K50" s="12">
        <v>20</v>
      </c>
      <c r="L50" s="12" t="s">
        <v>415</v>
      </c>
      <c r="M50" s="13">
        <v>5111</v>
      </c>
      <c r="N50" s="12">
        <v>2017</v>
      </c>
      <c r="O50" s="12">
        <v>2033</v>
      </c>
    </row>
    <row r="51" spans="2:15" x14ac:dyDescent="0.2">
      <c r="B51" t="s">
        <v>333</v>
      </c>
      <c r="C51" t="s">
        <v>380</v>
      </c>
      <c r="D51" s="12"/>
      <c r="E51" s="12"/>
      <c r="F51" s="12"/>
      <c r="G51" s="12"/>
      <c r="H51" s="12"/>
      <c r="I51" s="12"/>
      <c r="J51" s="12"/>
      <c r="K51" s="12">
        <v>20</v>
      </c>
      <c r="L51" s="12" t="s">
        <v>389</v>
      </c>
      <c r="M51" s="13">
        <v>5971</v>
      </c>
      <c r="N51" s="12">
        <v>2019</v>
      </c>
      <c r="O51" s="12">
        <v>2036</v>
      </c>
    </row>
    <row r="52" spans="2:15" x14ac:dyDescent="0.2">
      <c r="B52" t="s">
        <v>286</v>
      </c>
      <c r="C52" t="s">
        <v>384</v>
      </c>
      <c r="D52" s="12"/>
      <c r="E52" s="12"/>
      <c r="F52" s="12"/>
      <c r="G52" s="12"/>
      <c r="H52" s="12"/>
      <c r="I52" s="12"/>
      <c r="J52" s="12"/>
      <c r="K52" s="12">
        <v>20</v>
      </c>
      <c r="L52" s="12" t="s">
        <v>399</v>
      </c>
      <c r="M52" s="13">
        <v>11540</v>
      </c>
      <c r="N52" s="12">
        <v>2022</v>
      </c>
      <c r="O52" s="12">
        <v>2041</v>
      </c>
    </row>
    <row r="53" spans="2:15" x14ac:dyDescent="0.2">
      <c r="B53" t="s">
        <v>334</v>
      </c>
      <c r="C53" t="s">
        <v>381</v>
      </c>
      <c r="D53" s="12"/>
      <c r="E53" s="12"/>
      <c r="F53" s="12"/>
      <c r="G53" s="12"/>
      <c r="H53" s="12"/>
      <c r="I53" s="12"/>
      <c r="J53" s="12"/>
      <c r="K53" s="12">
        <v>20</v>
      </c>
      <c r="L53" s="12" t="s">
        <v>387</v>
      </c>
      <c r="M53" s="13">
        <v>4132</v>
      </c>
      <c r="N53" s="12">
        <v>2016</v>
      </c>
      <c r="O53" s="12">
        <v>2032</v>
      </c>
    </row>
    <row r="54" spans="2:15" x14ac:dyDescent="0.2">
      <c r="B54" t="s">
        <v>335</v>
      </c>
      <c r="C54" t="s">
        <v>382</v>
      </c>
      <c r="D54" s="12"/>
      <c r="E54" s="12"/>
      <c r="F54" s="12"/>
      <c r="G54" s="12"/>
      <c r="H54" s="12"/>
      <c r="I54" s="12"/>
      <c r="J54" s="12"/>
      <c r="K54" s="12">
        <v>18</v>
      </c>
      <c r="L54" s="12" t="s">
        <v>416</v>
      </c>
      <c r="M54" s="13">
        <v>5451</v>
      </c>
      <c r="N54" s="12">
        <v>2019</v>
      </c>
      <c r="O54" s="12">
        <v>2036</v>
      </c>
    </row>
    <row r="55" spans="2:15" x14ac:dyDescent="0.2">
      <c r="B55" t="s">
        <v>336</v>
      </c>
      <c r="C55" t="s">
        <v>355</v>
      </c>
      <c r="D55" s="12"/>
      <c r="E55" s="12"/>
      <c r="F55" s="12"/>
      <c r="G55" s="12"/>
      <c r="H55" s="12"/>
      <c r="I55" s="12"/>
      <c r="J55" s="12"/>
      <c r="K55" s="12">
        <v>15</v>
      </c>
      <c r="L55" s="12" t="s">
        <v>417</v>
      </c>
      <c r="M55" s="13">
        <v>8442</v>
      </c>
      <c r="N55" s="12">
        <v>2021</v>
      </c>
      <c r="O55" s="12">
        <v>2041</v>
      </c>
    </row>
    <row r="56" spans="2:15" x14ac:dyDescent="0.2">
      <c r="B56" t="s">
        <v>337</v>
      </c>
      <c r="C56" t="s">
        <v>383</v>
      </c>
      <c r="D56" s="12"/>
      <c r="E56" s="12"/>
      <c r="F56" s="12"/>
      <c r="G56" s="12"/>
      <c r="H56" s="12"/>
      <c r="I56" s="12"/>
      <c r="J56" s="12"/>
      <c r="K56" s="12">
        <v>15</v>
      </c>
      <c r="L56" s="12" t="s">
        <v>405</v>
      </c>
      <c r="M56" s="13">
        <v>3670</v>
      </c>
      <c r="N56" s="12">
        <v>2017</v>
      </c>
      <c r="O56" s="12">
        <v>2034</v>
      </c>
    </row>
    <row r="57" spans="2:15" x14ac:dyDescent="0.2">
      <c r="B57" t="s">
        <v>604</v>
      </c>
      <c r="D57" s="12"/>
      <c r="E57" s="12"/>
      <c r="F57" s="12"/>
      <c r="G57" s="12"/>
      <c r="H57" s="12"/>
      <c r="I57" s="12"/>
      <c r="J57" s="12"/>
      <c r="K57" s="12"/>
      <c r="L57" s="12"/>
      <c r="M57" s="13">
        <v>5291</v>
      </c>
      <c r="N57" s="12">
        <v>2014</v>
      </c>
      <c r="O57" s="12">
        <v>2034</v>
      </c>
    </row>
    <row r="58" spans="2:15" x14ac:dyDescent="0.2">
      <c r="B58" t="s">
        <v>605</v>
      </c>
      <c r="D58" s="12"/>
      <c r="E58" s="12"/>
      <c r="F58" s="12"/>
      <c r="G58" s="12"/>
      <c r="H58" s="12"/>
      <c r="I58" s="12"/>
      <c r="J58" s="12"/>
      <c r="K58" s="12"/>
      <c r="L58" s="12"/>
      <c r="M58" s="13">
        <v>4983</v>
      </c>
      <c r="N58" s="12">
        <v>2018</v>
      </c>
      <c r="O58" s="12">
        <v>2032</v>
      </c>
    </row>
    <row r="59" spans="2:15" x14ac:dyDescent="0.2">
      <c r="B59" t="s">
        <v>606</v>
      </c>
      <c r="D59" s="12"/>
      <c r="E59" s="12"/>
      <c r="F59" s="12"/>
      <c r="G59" s="12"/>
      <c r="H59" s="12"/>
      <c r="I59" s="12"/>
      <c r="J59" s="12"/>
      <c r="K59" s="12"/>
      <c r="L59" s="12"/>
      <c r="M59" s="13">
        <v>4386</v>
      </c>
      <c r="N59" s="12">
        <v>2023</v>
      </c>
      <c r="O59" s="12">
        <v>2042</v>
      </c>
    </row>
    <row r="60" spans="2:15" x14ac:dyDescent="0.2">
      <c r="B60" t="s">
        <v>607</v>
      </c>
      <c r="D60" s="12"/>
      <c r="E60" s="12"/>
      <c r="F60" s="12"/>
      <c r="G60" s="12"/>
      <c r="H60" s="12"/>
      <c r="I60" s="12"/>
      <c r="J60" s="12"/>
      <c r="K60" s="12"/>
      <c r="L60" s="12"/>
      <c r="M60" s="13">
        <v>4342</v>
      </c>
      <c r="N60" s="12">
        <v>2017</v>
      </c>
      <c r="O60" s="12">
        <v>2036</v>
      </c>
    </row>
    <row r="61" spans="2:15" x14ac:dyDescent="0.2">
      <c r="B61" t="s">
        <v>608</v>
      </c>
      <c r="D61" s="12"/>
      <c r="E61" s="12"/>
      <c r="F61" s="12"/>
      <c r="G61" s="12"/>
      <c r="H61" s="12"/>
      <c r="I61" s="12"/>
      <c r="J61" s="12"/>
      <c r="K61" s="12"/>
      <c r="L61" s="12"/>
      <c r="M61" s="13">
        <v>4222</v>
      </c>
      <c r="N61" s="12">
        <v>2009</v>
      </c>
      <c r="O61" s="12">
        <v>2029</v>
      </c>
    </row>
    <row r="62" spans="2:15" x14ac:dyDescent="0.2">
      <c r="B62" t="s">
        <v>609</v>
      </c>
      <c r="D62" s="12"/>
      <c r="E62" s="12"/>
      <c r="F62" s="12"/>
      <c r="G62" s="12"/>
      <c r="H62" s="12"/>
      <c r="I62" s="12"/>
      <c r="J62" s="12"/>
      <c r="K62" s="12"/>
      <c r="L62" s="12"/>
      <c r="M62" s="13">
        <v>4076</v>
      </c>
      <c r="N62" s="12">
        <v>2014</v>
      </c>
      <c r="O62" s="12">
        <v>2029</v>
      </c>
    </row>
    <row r="63" spans="2:15" x14ac:dyDescent="0.2">
      <c r="B63" t="s">
        <v>610</v>
      </c>
      <c r="D63" s="12"/>
      <c r="E63" s="12"/>
      <c r="F63" s="12"/>
      <c r="G63" s="12"/>
      <c r="H63" s="12"/>
      <c r="I63" s="12"/>
      <c r="J63" s="12"/>
      <c r="K63" s="12"/>
      <c r="L63" s="12"/>
      <c r="M63" s="13">
        <v>3545</v>
      </c>
      <c r="N63" s="12">
        <v>2013</v>
      </c>
      <c r="O63" s="12">
        <v>2029</v>
      </c>
    </row>
    <row r="64" spans="2:15" x14ac:dyDescent="0.2">
      <c r="B64" t="s">
        <v>611</v>
      </c>
      <c r="D64" s="12"/>
      <c r="E64" s="12"/>
      <c r="F64" s="12"/>
      <c r="G64" s="12"/>
      <c r="H64" s="12"/>
      <c r="I64" s="12"/>
      <c r="J64" s="12"/>
      <c r="K64" s="12"/>
      <c r="L64" s="12"/>
      <c r="M64" s="13">
        <v>3381</v>
      </c>
      <c r="N64" s="12">
        <v>2019</v>
      </c>
      <c r="O64" s="12">
        <v>2038</v>
      </c>
    </row>
    <row r="65" spans="2:15" x14ac:dyDescent="0.2">
      <c r="B65" t="s">
        <v>477</v>
      </c>
      <c r="C65" t="s">
        <v>479</v>
      </c>
    </row>
    <row r="66" spans="2:15" x14ac:dyDescent="0.2">
      <c r="B66" t="s">
        <v>480</v>
      </c>
      <c r="C66" t="s">
        <v>479</v>
      </c>
    </row>
    <row r="67" spans="2:15" x14ac:dyDescent="0.2">
      <c r="B67" t="s">
        <v>478</v>
      </c>
      <c r="C67" t="s">
        <v>481</v>
      </c>
    </row>
    <row r="68" spans="2:15" x14ac:dyDescent="0.2">
      <c r="D68" s="12"/>
      <c r="E68" s="12"/>
      <c r="F68" s="12"/>
      <c r="G68" s="12"/>
      <c r="H68" s="12"/>
      <c r="I68" s="12"/>
      <c r="J68" s="12"/>
      <c r="K68" s="12"/>
      <c r="L68" s="12"/>
      <c r="M68" s="13"/>
      <c r="N68" s="12"/>
      <c r="O68" s="12"/>
    </row>
    <row r="70" spans="2:15" x14ac:dyDescent="0.2">
      <c r="B70" t="s">
        <v>616</v>
      </c>
      <c r="C70" t="s">
        <v>616</v>
      </c>
    </row>
    <row r="71" spans="2:15" x14ac:dyDescent="0.2">
      <c r="B71" t="s">
        <v>617</v>
      </c>
      <c r="C71" t="s">
        <v>617</v>
      </c>
    </row>
    <row r="72" spans="2:15" x14ac:dyDescent="0.2">
      <c r="B72" t="s">
        <v>618</v>
      </c>
      <c r="C72" t="s">
        <v>618</v>
      </c>
      <c r="F72" t="s">
        <v>677</v>
      </c>
      <c r="L72" t="s">
        <v>451</v>
      </c>
    </row>
    <row r="73" spans="2:15" x14ac:dyDescent="0.2">
      <c r="B73" t="s">
        <v>619</v>
      </c>
      <c r="C73" t="s">
        <v>619</v>
      </c>
    </row>
    <row r="74" spans="2:15" x14ac:dyDescent="0.2">
      <c r="B74" t="s">
        <v>620</v>
      </c>
      <c r="C74" t="s">
        <v>620</v>
      </c>
    </row>
    <row r="75" spans="2:15" x14ac:dyDescent="0.2">
      <c r="B75" t="s">
        <v>621</v>
      </c>
      <c r="C75" t="s">
        <v>621</v>
      </c>
    </row>
    <row r="76" spans="2:15" x14ac:dyDescent="0.2">
      <c r="B76" t="s">
        <v>622</v>
      </c>
      <c r="C76" t="s">
        <v>622</v>
      </c>
    </row>
    <row r="77" spans="2:15" x14ac:dyDescent="0.2">
      <c r="B77" t="s">
        <v>623</v>
      </c>
      <c r="C77" t="s">
        <v>623</v>
      </c>
    </row>
    <row r="78" spans="2:15" x14ac:dyDescent="0.2">
      <c r="B78" t="s">
        <v>624</v>
      </c>
      <c r="C78" t="s">
        <v>624</v>
      </c>
    </row>
    <row r="79" spans="2:15" x14ac:dyDescent="0.2">
      <c r="B79" t="s">
        <v>625</v>
      </c>
      <c r="C79" t="s">
        <v>625</v>
      </c>
    </row>
    <row r="80" spans="2:15" x14ac:dyDescent="0.2">
      <c r="B80" t="s">
        <v>626</v>
      </c>
      <c r="C80" t="s">
        <v>626</v>
      </c>
    </row>
    <row r="81" spans="2:3" x14ac:dyDescent="0.2">
      <c r="B81" t="s">
        <v>627</v>
      </c>
      <c r="C81" t="s">
        <v>627</v>
      </c>
    </row>
    <row r="82" spans="2:3" x14ac:dyDescent="0.2">
      <c r="B82" t="s">
        <v>628</v>
      </c>
      <c r="C82" t="s">
        <v>628</v>
      </c>
    </row>
    <row r="83" spans="2:3" x14ac:dyDescent="0.2">
      <c r="B83" t="s">
        <v>629</v>
      </c>
      <c r="C83" t="s">
        <v>629</v>
      </c>
    </row>
    <row r="84" spans="2:3" x14ac:dyDescent="0.2">
      <c r="B84" t="s">
        <v>630</v>
      </c>
      <c r="C84" t="s">
        <v>630</v>
      </c>
    </row>
    <row r="85" spans="2:3" x14ac:dyDescent="0.2">
      <c r="B85" t="s">
        <v>631</v>
      </c>
      <c r="C85" t="s">
        <v>631</v>
      </c>
    </row>
    <row r="86" spans="2:3" x14ac:dyDescent="0.2">
      <c r="B86" t="s">
        <v>632</v>
      </c>
      <c r="C86" t="s">
        <v>632</v>
      </c>
    </row>
    <row r="87" spans="2:3" x14ac:dyDescent="0.2">
      <c r="B87" t="s">
        <v>633</v>
      </c>
      <c r="C87" t="s">
        <v>633</v>
      </c>
    </row>
    <row r="88" spans="2:3" x14ac:dyDescent="0.2">
      <c r="B88" t="s">
        <v>634</v>
      </c>
      <c r="C88" t="s">
        <v>634</v>
      </c>
    </row>
    <row r="89" spans="2:3" x14ac:dyDescent="0.2">
      <c r="B89" t="s">
        <v>635</v>
      </c>
      <c r="C89" t="s">
        <v>635</v>
      </c>
    </row>
    <row r="90" spans="2:3" x14ac:dyDescent="0.2">
      <c r="B90" t="s">
        <v>636</v>
      </c>
      <c r="C90" t="s">
        <v>636</v>
      </c>
    </row>
    <row r="91" spans="2:3" x14ac:dyDescent="0.2">
      <c r="B91" t="s">
        <v>637</v>
      </c>
      <c r="C91" t="s">
        <v>637</v>
      </c>
    </row>
    <row r="92" spans="2:3" x14ac:dyDescent="0.2">
      <c r="B92" t="s">
        <v>638</v>
      </c>
      <c r="C92" t="s">
        <v>638</v>
      </c>
    </row>
    <row r="93" spans="2:3" x14ac:dyDescent="0.2">
      <c r="B93" t="s">
        <v>639</v>
      </c>
      <c r="C93" t="s">
        <v>639</v>
      </c>
    </row>
    <row r="94" spans="2:3" x14ac:dyDescent="0.2">
      <c r="B94" t="s">
        <v>640</v>
      </c>
      <c r="C94" t="s">
        <v>640</v>
      </c>
    </row>
    <row r="95" spans="2:3" x14ac:dyDescent="0.2">
      <c r="B95" t="s">
        <v>641</v>
      </c>
      <c r="C95" t="s">
        <v>641</v>
      </c>
    </row>
    <row r="96" spans="2:3" x14ac:dyDescent="0.2">
      <c r="B96" t="s">
        <v>642</v>
      </c>
      <c r="C96" t="s">
        <v>642</v>
      </c>
    </row>
    <row r="97" spans="2:14" x14ac:dyDescent="0.2">
      <c r="B97" t="s">
        <v>643</v>
      </c>
      <c r="C97" t="s">
        <v>643</v>
      </c>
    </row>
    <row r="98" spans="2:14" x14ac:dyDescent="0.2">
      <c r="B98" t="s">
        <v>644</v>
      </c>
      <c r="C98" t="s">
        <v>644</v>
      </c>
    </row>
    <row r="99" spans="2:14" x14ac:dyDescent="0.2">
      <c r="B99" t="s">
        <v>645</v>
      </c>
      <c r="C99" t="s">
        <v>645</v>
      </c>
    </row>
    <row r="100" spans="2:14" x14ac:dyDescent="0.2">
      <c r="B100" t="s">
        <v>646</v>
      </c>
      <c r="C100" t="s">
        <v>646</v>
      </c>
    </row>
    <row r="101" spans="2:14" x14ac:dyDescent="0.2">
      <c r="B101" t="s">
        <v>647</v>
      </c>
      <c r="C101" t="s">
        <v>647</v>
      </c>
    </row>
    <row r="102" spans="2:14" x14ac:dyDescent="0.2">
      <c r="B102" t="s">
        <v>613</v>
      </c>
      <c r="C102" t="s">
        <v>613</v>
      </c>
      <c r="I102" t="s">
        <v>614</v>
      </c>
      <c r="L102" s="12" t="s">
        <v>612</v>
      </c>
      <c r="N102" s="12">
        <v>1955</v>
      </c>
    </row>
    <row r="103" spans="2:14" x14ac:dyDescent="0.2">
      <c r="B103" t="s">
        <v>648</v>
      </c>
      <c r="C103" t="s">
        <v>648</v>
      </c>
    </row>
    <row r="104" spans="2:14" x14ac:dyDescent="0.2">
      <c r="B104" t="s">
        <v>649</v>
      </c>
      <c r="C104" t="s">
        <v>649</v>
      </c>
    </row>
    <row r="105" spans="2:14" x14ac:dyDescent="0.2">
      <c r="B105" t="s">
        <v>348</v>
      </c>
      <c r="C105" t="s">
        <v>348</v>
      </c>
    </row>
    <row r="106" spans="2:14" x14ac:dyDescent="0.2">
      <c r="B106" t="s">
        <v>650</v>
      </c>
      <c r="C106" t="s">
        <v>650</v>
      </c>
    </row>
    <row r="107" spans="2:14" x14ac:dyDescent="0.2">
      <c r="B107" t="s">
        <v>651</v>
      </c>
      <c r="C107" t="s">
        <v>651</v>
      </c>
    </row>
    <row r="108" spans="2:14" x14ac:dyDescent="0.2">
      <c r="B108" t="s">
        <v>652</v>
      </c>
      <c r="C108" t="s">
        <v>652</v>
      </c>
    </row>
    <row r="109" spans="2:14" x14ac:dyDescent="0.2">
      <c r="B109" t="s">
        <v>653</v>
      </c>
      <c r="C109" t="s">
        <v>653</v>
      </c>
    </row>
    <row r="110" spans="2:14" x14ac:dyDescent="0.2">
      <c r="B110" t="s">
        <v>654</v>
      </c>
      <c r="C110" t="s">
        <v>654</v>
      </c>
    </row>
    <row r="111" spans="2:14" x14ac:dyDescent="0.2">
      <c r="B111" t="s">
        <v>655</v>
      </c>
      <c r="C111" t="s">
        <v>655</v>
      </c>
    </row>
    <row r="112" spans="2:14" x14ac:dyDescent="0.2">
      <c r="B112" t="s">
        <v>656</v>
      </c>
      <c r="C112" t="s">
        <v>656</v>
      </c>
    </row>
    <row r="113" spans="2:3" x14ac:dyDescent="0.2">
      <c r="B113" t="s">
        <v>657</v>
      </c>
      <c r="C113" t="s">
        <v>657</v>
      </c>
    </row>
    <row r="114" spans="2:3" x14ac:dyDescent="0.2">
      <c r="B114" t="s">
        <v>658</v>
      </c>
      <c r="C114" t="s">
        <v>658</v>
      </c>
    </row>
    <row r="115" spans="2:3" x14ac:dyDescent="0.2">
      <c r="B115" t="s">
        <v>659</v>
      </c>
      <c r="C115" t="s">
        <v>659</v>
      </c>
    </row>
    <row r="116" spans="2:3" x14ac:dyDescent="0.2">
      <c r="B116" t="s">
        <v>660</v>
      </c>
      <c r="C116" t="s">
        <v>660</v>
      </c>
    </row>
    <row r="117" spans="2:3" x14ac:dyDescent="0.2">
      <c r="B117" t="s">
        <v>661</v>
      </c>
      <c r="C117" t="s">
        <v>661</v>
      </c>
    </row>
    <row r="118" spans="2:3" x14ac:dyDescent="0.2">
      <c r="B118" t="s">
        <v>662</v>
      </c>
      <c r="C118" t="s">
        <v>662</v>
      </c>
    </row>
    <row r="119" spans="2:3" x14ac:dyDescent="0.2">
      <c r="B119" t="s">
        <v>663</v>
      </c>
      <c r="C119" t="s">
        <v>663</v>
      </c>
    </row>
    <row r="120" spans="2:3" x14ac:dyDescent="0.2">
      <c r="B120" t="s">
        <v>664</v>
      </c>
      <c r="C120" t="s">
        <v>664</v>
      </c>
    </row>
    <row r="121" spans="2:3" x14ac:dyDescent="0.2">
      <c r="B121" t="s">
        <v>665</v>
      </c>
      <c r="C121" t="s">
        <v>665</v>
      </c>
    </row>
    <row r="122" spans="2:3" x14ac:dyDescent="0.2">
      <c r="B122" t="s">
        <v>666</v>
      </c>
      <c r="C122" t="s">
        <v>666</v>
      </c>
    </row>
    <row r="123" spans="2:3" x14ac:dyDescent="0.2">
      <c r="B123" t="s">
        <v>667</v>
      </c>
      <c r="C123" t="s">
        <v>667</v>
      </c>
    </row>
    <row r="124" spans="2:3" x14ac:dyDescent="0.2">
      <c r="B124" t="s">
        <v>668</v>
      </c>
      <c r="C124" t="s">
        <v>668</v>
      </c>
    </row>
    <row r="125" spans="2:3" x14ac:dyDescent="0.2">
      <c r="B125" t="s">
        <v>669</v>
      </c>
      <c r="C125" t="s">
        <v>669</v>
      </c>
    </row>
    <row r="126" spans="2:3" x14ac:dyDescent="0.2">
      <c r="B126" t="s">
        <v>670</v>
      </c>
      <c r="C126" t="s">
        <v>670</v>
      </c>
    </row>
    <row r="127" spans="2:3" x14ac:dyDescent="0.2">
      <c r="B127" t="s">
        <v>671</v>
      </c>
      <c r="C127" t="s">
        <v>671</v>
      </c>
    </row>
    <row r="128" spans="2:3" x14ac:dyDescent="0.2">
      <c r="B128" t="s">
        <v>630</v>
      </c>
      <c r="C128" t="s">
        <v>630</v>
      </c>
    </row>
    <row r="129" spans="2:3" x14ac:dyDescent="0.2">
      <c r="B129" t="s">
        <v>672</v>
      </c>
      <c r="C129" t="s">
        <v>672</v>
      </c>
    </row>
    <row r="130" spans="2:3" x14ac:dyDescent="0.2">
      <c r="B130" t="s">
        <v>673</v>
      </c>
      <c r="C130" t="s">
        <v>673</v>
      </c>
    </row>
    <row r="131" spans="2:3" x14ac:dyDescent="0.2">
      <c r="B131" t="s">
        <v>674</v>
      </c>
      <c r="C131" t="s">
        <v>674</v>
      </c>
    </row>
    <row r="132" spans="2:3" x14ac:dyDescent="0.2">
      <c r="B132" t="s">
        <v>675</v>
      </c>
      <c r="C132" t="s">
        <v>675</v>
      </c>
    </row>
    <row r="133" spans="2:3" x14ac:dyDescent="0.2">
      <c r="B133" t="s">
        <v>675</v>
      </c>
      <c r="C133" t="s">
        <v>675</v>
      </c>
    </row>
    <row r="138" spans="2:3" x14ac:dyDescent="0.2">
      <c r="C138" t="s">
        <v>676</v>
      </c>
    </row>
  </sheetData>
  <hyperlinks>
    <hyperlink ref="A1" location="Main!A1" display="Main" xr:uid="{C8DDE9E8-DD28-4A1A-A5A9-F5959BCB05B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C8C1E-B59B-40F8-80DC-62A32A02DE98}">
  <dimension ref="A1:DB57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5" sqref="A5"/>
      <selection pane="bottomRight" activeCell="F23" sqref="F23"/>
    </sheetView>
  </sheetViews>
  <sheetFormatPr defaultRowHeight="12.75" x14ac:dyDescent="0.2"/>
  <cols>
    <col min="1" max="1" width="5" bestFit="1" customWidth="1"/>
    <col min="2" max="2" width="24.7109375" customWidth="1"/>
    <col min="3" max="3" width="13.42578125" customWidth="1"/>
    <col min="4" max="4" width="10" bestFit="1" customWidth="1"/>
    <col min="5" max="5" width="10.7109375" bestFit="1" customWidth="1"/>
    <col min="6" max="6" width="17.42578125" bestFit="1" customWidth="1"/>
    <col min="7" max="7" width="94.140625" bestFit="1" customWidth="1"/>
    <col min="8" max="8" width="19.42578125" bestFit="1" customWidth="1"/>
    <col min="9" max="9" width="14.85546875" bestFit="1" customWidth="1"/>
    <col min="10" max="10" width="58.7109375" bestFit="1" customWidth="1"/>
    <col min="11" max="11" width="21.7109375" bestFit="1" customWidth="1"/>
    <col min="12" max="12" width="13.85546875" customWidth="1"/>
    <col min="13" max="13" width="25.5703125" bestFit="1" customWidth="1"/>
    <col min="14" max="14" width="12.42578125" bestFit="1" customWidth="1"/>
    <col min="15" max="15" width="11.42578125" bestFit="1" customWidth="1"/>
    <col min="16" max="16" width="15" bestFit="1" customWidth="1"/>
    <col min="17" max="17" width="16.42578125" bestFit="1" customWidth="1"/>
    <col min="18" max="18" width="10.28515625" bestFit="1" customWidth="1"/>
    <col min="19" max="19" width="9.85546875" bestFit="1" customWidth="1"/>
    <col min="20" max="20" width="10.42578125" bestFit="1" customWidth="1"/>
    <col min="21" max="21" width="51.42578125" bestFit="1" customWidth="1"/>
  </cols>
  <sheetData>
    <row r="1" spans="1:28" x14ac:dyDescent="0.2">
      <c r="A1" s="1" t="s">
        <v>16</v>
      </c>
      <c r="B1" s="9"/>
      <c r="C1" t="s">
        <v>523</v>
      </c>
      <c r="D1" t="s">
        <v>510</v>
      </c>
      <c r="E1" t="s">
        <v>524</v>
      </c>
    </row>
    <row r="2" spans="1:28" x14ac:dyDescent="0.2">
      <c r="B2" t="s">
        <v>344</v>
      </c>
      <c r="C2" t="s">
        <v>459</v>
      </c>
      <c r="D2" t="s">
        <v>473</v>
      </c>
      <c r="E2" t="s">
        <v>511</v>
      </c>
      <c r="F2" t="s">
        <v>460</v>
      </c>
      <c r="G2" t="s">
        <v>461</v>
      </c>
      <c r="H2" t="s">
        <v>462</v>
      </c>
      <c r="I2" t="s">
        <v>465</v>
      </c>
      <c r="J2" t="s">
        <v>466</v>
      </c>
      <c r="K2" t="s">
        <v>467</v>
      </c>
      <c r="L2" t="s">
        <v>597</v>
      </c>
      <c r="M2" t="s">
        <v>474</v>
      </c>
      <c r="N2" t="s">
        <v>468</v>
      </c>
      <c r="O2" t="s">
        <v>472</v>
      </c>
      <c r="P2" t="s">
        <v>469</v>
      </c>
      <c r="Q2" t="s">
        <v>470</v>
      </c>
      <c r="R2" t="s">
        <v>471</v>
      </c>
      <c r="S2" t="s">
        <v>475</v>
      </c>
      <c r="T2" t="s">
        <v>476</v>
      </c>
      <c r="U2" t="s">
        <v>483</v>
      </c>
    </row>
    <row r="3" spans="1:28" x14ac:dyDescent="0.2">
      <c r="B3" t="s">
        <v>508</v>
      </c>
      <c r="C3" s="13">
        <v>84000</v>
      </c>
      <c r="D3" s="13">
        <v>1700</v>
      </c>
      <c r="E3" s="13" t="s">
        <v>514</v>
      </c>
      <c r="F3" s="12"/>
      <c r="G3" s="12" t="s">
        <v>550</v>
      </c>
      <c r="H3" s="12"/>
      <c r="I3" s="12"/>
      <c r="J3" s="12" t="s">
        <v>577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 t="s">
        <v>526</v>
      </c>
      <c r="V3" s="12"/>
      <c r="W3" s="12"/>
      <c r="X3" s="12"/>
      <c r="Y3" s="12"/>
      <c r="Z3" s="12"/>
      <c r="AA3" s="12"/>
      <c r="AB3" s="12"/>
    </row>
    <row r="4" spans="1:28" x14ac:dyDescent="0.2">
      <c r="B4" t="s">
        <v>615</v>
      </c>
      <c r="C4" s="13">
        <v>25100</v>
      </c>
      <c r="D4" s="13">
        <v>1500</v>
      </c>
      <c r="E4" s="13">
        <v>2000</v>
      </c>
      <c r="F4" s="12"/>
      <c r="G4" s="12" t="s">
        <v>551</v>
      </c>
      <c r="H4" s="12"/>
      <c r="I4" s="12"/>
      <c r="J4" s="12" t="s">
        <v>573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 t="s">
        <v>527</v>
      </c>
      <c r="V4" s="12"/>
      <c r="W4" s="12"/>
      <c r="X4" s="12"/>
      <c r="Y4" s="12"/>
      <c r="Z4" s="12"/>
      <c r="AA4" s="12"/>
      <c r="AB4" s="12"/>
    </row>
    <row r="5" spans="1:28" x14ac:dyDescent="0.2">
      <c r="B5" t="s">
        <v>451</v>
      </c>
      <c r="C5" s="13">
        <v>24540</v>
      </c>
      <c r="D5" s="13">
        <v>1300</v>
      </c>
      <c r="E5" s="13">
        <v>10000</v>
      </c>
      <c r="F5" s="12"/>
      <c r="G5" s="12" t="s">
        <v>552</v>
      </c>
      <c r="H5" s="12"/>
      <c r="I5" s="12"/>
      <c r="J5" s="12" t="s">
        <v>572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 t="s">
        <v>528</v>
      </c>
      <c r="V5" s="12"/>
      <c r="W5" s="12"/>
      <c r="X5" s="12"/>
      <c r="Y5" s="12"/>
      <c r="Z5" s="12"/>
      <c r="AA5" s="12"/>
      <c r="AB5" s="12"/>
    </row>
    <row r="6" spans="1:28" x14ac:dyDescent="0.2">
      <c r="B6" t="s">
        <v>492</v>
      </c>
      <c r="C6" s="13">
        <v>6810</v>
      </c>
      <c r="D6" s="13">
        <v>1048</v>
      </c>
      <c r="E6" s="13"/>
      <c r="F6" s="12" t="s">
        <v>587</v>
      </c>
      <c r="G6" s="12" t="s">
        <v>553</v>
      </c>
      <c r="H6" s="12"/>
      <c r="I6" s="12"/>
      <c r="J6" s="12" t="s">
        <v>583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 t="s">
        <v>529</v>
      </c>
      <c r="V6" s="12"/>
      <c r="W6" s="12"/>
      <c r="X6" s="12"/>
      <c r="Y6" s="12"/>
      <c r="Z6" s="12"/>
      <c r="AA6" s="12"/>
      <c r="AB6" s="12"/>
    </row>
    <row r="7" spans="1:28" x14ac:dyDescent="0.2">
      <c r="B7" t="s">
        <v>455</v>
      </c>
      <c r="C7" s="13">
        <v>928</v>
      </c>
      <c r="D7" s="13">
        <v>1000</v>
      </c>
      <c r="E7" s="13">
        <v>400</v>
      </c>
      <c r="F7" s="12" t="s">
        <v>589</v>
      </c>
      <c r="G7" s="12" t="s">
        <v>554</v>
      </c>
      <c r="H7" s="12"/>
      <c r="I7" s="12"/>
      <c r="J7" s="12" t="s">
        <v>576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 t="s">
        <v>547</v>
      </c>
      <c r="V7" s="12"/>
      <c r="W7" s="12"/>
      <c r="X7" s="12"/>
      <c r="Y7" s="12"/>
      <c r="Z7" s="12"/>
      <c r="AA7" s="12"/>
      <c r="AB7" s="12"/>
    </row>
    <row r="8" spans="1:28" x14ac:dyDescent="0.2">
      <c r="B8" t="s">
        <v>505</v>
      </c>
      <c r="C8" s="13">
        <v>14520</v>
      </c>
      <c r="D8" s="12">
        <v>850</v>
      </c>
      <c r="E8" s="13">
        <v>1200</v>
      </c>
      <c r="F8" s="12"/>
      <c r="G8" s="12"/>
      <c r="H8" s="12"/>
      <c r="I8" s="12"/>
      <c r="J8" s="12" t="s">
        <v>572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">
      <c r="B9" t="s">
        <v>417</v>
      </c>
      <c r="C9" s="13">
        <v>50000</v>
      </c>
      <c r="D9" s="12">
        <v>800</v>
      </c>
      <c r="E9" s="13" t="s">
        <v>514</v>
      </c>
      <c r="F9" s="12" t="s">
        <v>589</v>
      </c>
      <c r="G9" s="12" t="s">
        <v>463</v>
      </c>
      <c r="H9" s="12"/>
      <c r="I9" s="12"/>
      <c r="J9" s="12" t="s">
        <v>573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 t="s">
        <v>530</v>
      </c>
      <c r="V9" s="12"/>
      <c r="W9" s="12"/>
      <c r="X9" s="12"/>
      <c r="Y9" s="12"/>
      <c r="Z9" s="12"/>
      <c r="AA9" s="12"/>
      <c r="AB9" s="12"/>
    </row>
    <row r="10" spans="1:28" x14ac:dyDescent="0.2">
      <c r="B10" t="s">
        <v>506</v>
      </c>
      <c r="C10" s="13">
        <v>153000</v>
      </c>
      <c r="D10" s="12">
        <v>612</v>
      </c>
      <c r="E10" s="13">
        <v>20000</v>
      </c>
      <c r="F10" s="12"/>
      <c r="G10" s="12"/>
      <c r="H10" s="12"/>
      <c r="I10" s="12"/>
      <c r="J10" s="12" t="s">
        <v>572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">
      <c r="A11" t="s">
        <v>491</v>
      </c>
      <c r="B11" t="s">
        <v>507</v>
      </c>
      <c r="C11" s="13">
        <v>9910</v>
      </c>
      <c r="D11" s="12">
        <v>595</v>
      </c>
      <c r="E11" s="13"/>
      <c r="F11" s="12"/>
      <c r="G11" s="12"/>
      <c r="H11" s="12"/>
      <c r="I11" s="12"/>
      <c r="J11" s="12" t="s">
        <v>577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">
      <c r="B12" t="s">
        <v>449</v>
      </c>
      <c r="C12" s="13">
        <v>88320</v>
      </c>
      <c r="D12" s="12">
        <v>589</v>
      </c>
      <c r="E12" s="13">
        <v>1500</v>
      </c>
      <c r="F12" s="12" t="s">
        <v>589</v>
      </c>
      <c r="G12" s="12" t="s">
        <v>463</v>
      </c>
      <c r="H12" s="12"/>
      <c r="I12" s="12"/>
      <c r="J12" s="12" t="s">
        <v>573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 t="s">
        <v>488</v>
      </c>
      <c r="V12" s="12"/>
      <c r="W12" s="12"/>
      <c r="X12" s="12"/>
      <c r="Y12" s="12"/>
      <c r="Z12" s="12"/>
      <c r="AA12" s="12"/>
      <c r="AB12" s="12"/>
    </row>
    <row r="13" spans="1:28" x14ac:dyDescent="0.2">
      <c r="B13" t="s">
        <v>458</v>
      </c>
      <c r="C13" s="13">
        <v>20000</v>
      </c>
      <c r="D13" s="12">
        <v>480</v>
      </c>
      <c r="E13" s="13">
        <v>3300</v>
      </c>
      <c r="F13" s="12" t="s">
        <v>491</v>
      </c>
      <c r="G13" s="12" t="s">
        <v>558</v>
      </c>
      <c r="H13" s="12"/>
      <c r="I13" s="12"/>
      <c r="J13" s="12" t="s">
        <v>578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 t="s">
        <v>538</v>
      </c>
      <c r="V13" s="12"/>
      <c r="W13" s="12"/>
      <c r="X13" s="12"/>
      <c r="Y13" s="12"/>
      <c r="Z13" s="12"/>
      <c r="AA13" s="12"/>
      <c r="AB13" s="12"/>
    </row>
    <row r="14" spans="1:28" x14ac:dyDescent="0.2">
      <c r="A14" t="s">
        <v>491</v>
      </c>
      <c r="B14" t="s">
        <v>493</v>
      </c>
      <c r="C14" s="13">
        <v>11900</v>
      </c>
      <c r="D14" s="12">
        <v>301</v>
      </c>
      <c r="E14" s="13" t="s">
        <v>514</v>
      </c>
      <c r="F14" s="12"/>
      <c r="G14" s="12" t="s">
        <v>556</v>
      </c>
      <c r="H14" s="12"/>
      <c r="I14" s="12"/>
      <c r="J14" s="12" t="s">
        <v>574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 t="s">
        <v>535</v>
      </c>
      <c r="V14" s="12"/>
      <c r="W14" s="12"/>
      <c r="X14" s="12"/>
      <c r="Y14" s="12"/>
      <c r="Z14" s="12"/>
      <c r="AA14" s="12"/>
      <c r="AB14" s="12"/>
    </row>
    <row r="15" spans="1:28" x14ac:dyDescent="0.2">
      <c r="B15" t="s">
        <v>512</v>
      </c>
      <c r="C15" s="13">
        <v>19000</v>
      </c>
      <c r="D15" s="12">
        <v>280</v>
      </c>
      <c r="E15" s="13">
        <v>800</v>
      </c>
      <c r="F15" s="12" t="s">
        <v>588</v>
      </c>
      <c r="G15" s="12" t="s">
        <v>555</v>
      </c>
      <c r="H15" s="12"/>
      <c r="I15" s="12"/>
      <c r="J15" s="12" t="s">
        <v>574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 t="s">
        <v>534</v>
      </c>
      <c r="V15" s="12"/>
      <c r="W15" s="12"/>
      <c r="X15" s="12"/>
      <c r="Y15" s="12"/>
      <c r="Z15" s="12"/>
      <c r="AA15" s="12"/>
      <c r="AB15" s="12"/>
    </row>
    <row r="16" spans="1:28" x14ac:dyDescent="0.2">
      <c r="B16" t="s">
        <v>406</v>
      </c>
      <c r="C16" s="13">
        <v>25000</v>
      </c>
      <c r="D16" s="12">
        <v>262</v>
      </c>
      <c r="E16" s="13"/>
      <c r="F16" s="12"/>
      <c r="G16" s="12" t="s">
        <v>559</v>
      </c>
      <c r="H16" s="12"/>
      <c r="I16" s="12"/>
      <c r="J16" s="12" t="s">
        <v>578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 t="s">
        <v>539</v>
      </c>
      <c r="V16" s="12"/>
      <c r="W16" s="12"/>
      <c r="X16" s="12"/>
      <c r="Y16" s="12"/>
      <c r="Z16" s="12"/>
      <c r="AA16" s="12"/>
      <c r="AB16" s="12"/>
    </row>
    <row r="17" spans="2:28" x14ac:dyDescent="0.2">
      <c r="B17" t="s">
        <v>495</v>
      </c>
      <c r="C17" s="12" t="s">
        <v>521</v>
      </c>
      <c r="D17" s="12">
        <v>254</v>
      </c>
      <c r="E17" s="13">
        <v>1300</v>
      </c>
      <c r="F17" s="12"/>
      <c r="G17" s="12"/>
      <c r="H17" s="12"/>
      <c r="I17" s="12"/>
      <c r="J17" s="12" t="s">
        <v>576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2:28" x14ac:dyDescent="0.2">
      <c r="B18" t="s">
        <v>498</v>
      </c>
      <c r="C18" s="12">
        <v>500</v>
      </c>
      <c r="D18" s="12">
        <v>249</v>
      </c>
      <c r="E18" s="13">
        <v>608</v>
      </c>
      <c r="F18" s="12"/>
      <c r="G18" s="12" t="s">
        <v>569</v>
      </c>
      <c r="H18" s="12"/>
      <c r="I18" s="12"/>
      <c r="J18" s="12" t="s">
        <v>579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2:28" x14ac:dyDescent="0.2">
      <c r="B19" t="s">
        <v>504</v>
      </c>
      <c r="C19" s="12" t="s">
        <v>519</v>
      </c>
      <c r="D19" s="12">
        <v>200</v>
      </c>
      <c r="E19" s="13">
        <v>9100</v>
      </c>
      <c r="F19" s="14"/>
      <c r="G19" s="12"/>
      <c r="H19" s="12"/>
      <c r="I19" s="12"/>
      <c r="J19" s="12" t="s">
        <v>581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28" x14ac:dyDescent="0.2">
      <c r="B20" t="s">
        <v>405</v>
      </c>
      <c r="C20" s="13">
        <v>15000</v>
      </c>
      <c r="D20" s="12">
        <v>125</v>
      </c>
      <c r="E20" s="12"/>
      <c r="F20" s="12"/>
      <c r="G20" s="12" t="s">
        <v>566</v>
      </c>
      <c r="H20" s="12"/>
      <c r="I20" s="12"/>
      <c r="J20" s="12" t="s">
        <v>544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 t="s">
        <v>548</v>
      </c>
      <c r="V20" s="12"/>
      <c r="W20" s="12"/>
      <c r="X20" s="12"/>
      <c r="Y20" s="12"/>
      <c r="Z20" s="12"/>
      <c r="AA20" s="12"/>
      <c r="AB20" s="12"/>
    </row>
    <row r="21" spans="2:28" x14ac:dyDescent="0.2">
      <c r="B21" t="s">
        <v>502</v>
      </c>
      <c r="C21" s="12" t="s">
        <v>519</v>
      </c>
      <c r="D21" s="12">
        <v>101</v>
      </c>
      <c r="E21" s="13">
        <v>7300</v>
      </c>
      <c r="F21" s="12"/>
      <c r="G21" s="12"/>
      <c r="H21" s="12"/>
      <c r="I21" s="12"/>
      <c r="J21" s="12" t="s">
        <v>580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2:28" x14ac:dyDescent="0.2">
      <c r="B22" t="s">
        <v>464</v>
      </c>
      <c r="C22" s="13">
        <v>25050</v>
      </c>
      <c r="D22" s="12">
        <v>84</v>
      </c>
      <c r="E22" s="12"/>
      <c r="F22" s="12" t="s">
        <v>587</v>
      </c>
      <c r="G22" s="12" t="s">
        <v>571</v>
      </c>
      <c r="H22" s="12"/>
      <c r="I22" s="12"/>
      <c r="J22" s="12" t="s">
        <v>574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 t="s">
        <v>537</v>
      </c>
      <c r="V22" s="12"/>
      <c r="W22" s="12"/>
      <c r="X22" s="12"/>
      <c r="Y22" s="12"/>
      <c r="Z22" s="12"/>
      <c r="AA22" s="12"/>
      <c r="AB22" s="12"/>
    </row>
    <row r="23" spans="2:28" x14ac:dyDescent="0.2">
      <c r="B23" t="s">
        <v>494</v>
      </c>
      <c r="C23" s="13">
        <v>6120</v>
      </c>
      <c r="D23" s="12">
        <v>60</v>
      </c>
      <c r="E23" s="13" t="s">
        <v>514</v>
      </c>
      <c r="F23" s="12"/>
      <c r="G23" s="12" t="s">
        <v>517</v>
      </c>
      <c r="H23" s="12"/>
      <c r="I23" s="12"/>
      <c r="J23" s="12" t="s">
        <v>574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2:28" x14ac:dyDescent="0.2">
      <c r="B24" t="s">
        <v>503</v>
      </c>
      <c r="C24" s="13">
        <v>8000</v>
      </c>
      <c r="D24" s="12">
        <v>55</v>
      </c>
      <c r="E24" s="13">
        <v>1800</v>
      </c>
      <c r="F24" s="12" t="s">
        <v>585</v>
      </c>
      <c r="G24" s="12" t="s">
        <v>570</v>
      </c>
      <c r="H24" s="12"/>
      <c r="I24" s="12"/>
      <c r="J24" s="12" t="s">
        <v>582</v>
      </c>
      <c r="K24" s="12"/>
      <c r="L24" s="12"/>
      <c r="M24" s="12"/>
      <c r="N24" s="12"/>
      <c r="O24" s="12" t="s">
        <v>487</v>
      </c>
      <c r="P24" s="12"/>
      <c r="Q24" s="12"/>
      <c r="R24" s="12"/>
      <c r="S24" s="12"/>
      <c r="T24" s="12"/>
      <c r="U24" s="12" t="s">
        <v>546</v>
      </c>
      <c r="V24" s="12"/>
      <c r="W24" s="12"/>
      <c r="X24" s="12"/>
      <c r="Y24" s="12"/>
      <c r="Z24" s="12"/>
      <c r="AA24" s="12"/>
      <c r="AB24" s="12"/>
    </row>
    <row r="25" spans="2:28" x14ac:dyDescent="0.2">
      <c r="B25" t="s">
        <v>484</v>
      </c>
      <c r="C25" s="12" t="s">
        <v>521</v>
      </c>
      <c r="D25" s="12">
        <v>50</v>
      </c>
      <c r="E25" s="12">
        <v>242</v>
      </c>
      <c r="F25" s="12" t="s">
        <v>584</v>
      </c>
      <c r="G25" s="12" t="s">
        <v>486</v>
      </c>
      <c r="H25" s="12"/>
      <c r="I25" s="12"/>
      <c r="J25" s="12" t="s">
        <v>576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 t="s">
        <v>314</v>
      </c>
      <c r="V25" s="12"/>
      <c r="W25" s="12"/>
      <c r="X25" s="12"/>
      <c r="Y25" s="12"/>
      <c r="Z25" s="12"/>
      <c r="AA25" s="12"/>
      <c r="AB25" s="12"/>
    </row>
    <row r="26" spans="2:28" x14ac:dyDescent="0.2">
      <c r="B26" t="s">
        <v>612</v>
      </c>
      <c r="C26" s="12"/>
      <c r="D26" s="12">
        <v>43</v>
      </c>
      <c r="E26" s="12">
        <v>188</v>
      </c>
      <c r="F26" s="12"/>
      <c r="G26" s="12" t="s">
        <v>509</v>
      </c>
      <c r="H26" s="12"/>
      <c r="I26" s="12"/>
      <c r="J26" s="12" t="s">
        <v>544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 t="s">
        <v>613</v>
      </c>
      <c r="V26" s="12"/>
      <c r="W26" s="12"/>
      <c r="X26" s="12"/>
      <c r="Y26" s="12"/>
      <c r="Z26" s="12"/>
      <c r="AA26" s="12"/>
      <c r="AB26" s="12"/>
    </row>
    <row r="27" spans="2:28" x14ac:dyDescent="0.2">
      <c r="B27" t="s">
        <v>496</v>
      </c>
      <c r="C27" s="13">
        <v>36000</v>
      </c>
      <c r="D27" s="12">
        <v>39</v>
      </c>
      <c r="E27" s="13">
        <v>630</v>
      </c>
      <c r="F27" s="12" t="s">
        <v>584</v>
      </c>
      <c r="G27" s="12" t="s">
        <v>561</v>
      </c>
      <c r="H27" s="12"/>
      <c r="I27" s="12"/>
      <c r="J27" s="12" t="s">
        <v>576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 t="s">
        <v>531</v>
      </c>
      <c r="V27" s="12"/>
      <c r="W27" s="12"/>
      <c r="X27" s="12"/>
      <c r="Y27" s="12"/>
      <c r="Z27" s="12"/>
      <c r="AA27" s="12"/>
      <c r="AB27" s="12"/>
    </row>
    <row r="28" spans="2:28" x14ac:dyDescent="0.2">
      <c r="B28" t="s">
        <v>452</v>
      </c>
      <c r="C28" s="13">
        <v>8750</v>
      </c>
      <c r="D28" s="12">
        <v>24</v>
      </c>
      <c r="E28" s="13" t="s">
        <v>514</v>
      </c>
      <c r="F28" s="16"/>
      <c r="G28" s="12" t="s">
        <v>557</v>
      </c>
      <c r="H28" s="12"/>
      <c r="I28" s="12"/>
      <c r="J28" s="12" t="s">
        <v>574</v>
      </c>
      <c r="K28" s="12" t="s">
        <v>489</v>
      </c>
      <c r="L28" s="12"/>
      <c r="M28" s="12"/>
      <c r="N28" s="12"/>
      <c r="O28" s="12"/>
      <c r="P28" s="12"/>
      <c r="Q28" s="12"/>
      <c r="R28" s="12"/>
      <c r="S28" s="12"/>
      <c r="T28" s="12"/>
      <c r="U28" s="12" t="s">
        <v>536</v>
      </c>
      <c r="V28" s="12"/>
      <c r="W28" s="12"/>
      <c r="X28" s="12"/>
      <c r="Y28" s="12"/>
      <c r="Z28" s="12"/>
      <c r="AA28" s="12"/>
      <c r="AB28" s="12"/>
    </row>
    <row r="29" spans="2:28" x14ac:dyDescent="0.2">
      <c r="B29" t="s">
        <v>513</v>
      </c>
      <c r="C29" s="13">
        <v>179000</v>
      </c>
      <c r="D29" s="12">
        <v>20</v>
      </c>
      <c r="E29" s="13">
        <v>9700</v>
      </c>
      <c r="F29" s="12" t="s">
        <v>586</v>
      </c>
      <c r="G29" s="12" t="s">
        <v>560</v>
      </c>
      <c r="H29" s="12"/>
      <c r="I29" s="12"/>
      <c r="J29" s="12" t="s">
        <v>575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 t="s">
        <v>532</v>
      </c>
      <c r="V29" s="12"/>
      <c r="W29" s="12"/>
      <c r="X29" s="12"/>
      <c r="Y29" s="12"/>
      <c r="Z29" s="12"/>
      <c r="AA29" s="12"/>
      <c r="AB29" s="12"/>
    </row>
    <row r="30" spans="2:28" x14ac:dyDescent="0.2">
      <c r="B30" t="s">
        <v>450</v>
      </c>
      <c r="C30" s="13">
        <v>63000</v>
      </c>
      <c r="D30" s="12">
        <v>18</v>
      </c>
      <c r="E30" s="13"/>
      <c r="F30" s="12" t="s">
        <v>584</v>
      </c>
      <c r="G30" s="12" t="s">
        <v>562</v>
      </c>
      <c r="H30" s="12" t="s">
        <v>482</v>
      </c>
      <c r="I30" s="12"/>
      <c r="J30" s="12" t="s">
        <v>544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 t="s">
        <v>533</v>
      </c>
      <c r="V30" s="12"/>
      <c r="W30" s="12"/>
      <c r="X30" s="12"/>
      <c r="Y30" s="12"/>
      <c r="Z30" s="12"/>
      <c r="AA30" s="12"/>
      <c r="AB30" s="12"/>
    </row>
    <row r="31" spans="2:28" x14ac:dyDescent="0.2">
      <c r="B31" t="s">
        <v>497</v>
      </c>
      <c r="C31" s="13">
        <v>1500</v>
      </c>
      <c r="D31" s="12">
        <v>11</v>
      </c>
      <c r="E31" s="13">
        <v>1300</v>
      </c>
      <c r="F31" s="12" t="s">
        <v>584</v>
      </c>
      <c r="G31" s="12" t="s">
        <v>568</v>
      </c>
      <c r="H31" s="12"/>
      <c r="I31" s="12"/>
      <c r="J31" s="12" t="s">
        <v>579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2:28" x14ac:dyDescent="0.2">
      <c r="B32" t="s">
        <v>515</v>
      </c>
      <c r="C32" s="13" t="s">
        <v>520</v>
      </c>
      <c r="D32" s="12">
        <v>10</v>
      </c>
      <c r="E32" s="13">
        <v>174</v>
      </c>
      <c r="F32" s="12"/>
      <c r="G32" s="12"/>
      <c r="H32" s="12"/>
      <c r="I32" s="12"/>
      <c r="J32" s="12" t="s">
        <v>573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2:106" x14ac:dyDescent="0.2">
      <c r="B33" t="s">
        <v>522</v>
      </c>
      <c r="C33" s="13">
        <v>8000</v>
      </c>
      <c r="D33" s="12">
        <v>13</v>
      </c>
      <c r="E33" s="13"/>
      <c r="F33" s="12" t="s">
        <v>584</v>
      </c>
      <c r="G33" s="12" t="s">
        <v>567</v>
      </c>
      <c r="H33" s="12" t="s">
        <v>482</v>
      </c>
      <c r="I33" s="12"/>
      <c r="J33" s="12" t="s">
        <v>544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 t="s">
        <v>549</v>
      </c>
      <c r="V33" s="12"/>
      <c r="W33" s="12"/>
      <c r="X33" s="12"/>
      <c r="Y33" s="12"/>
      <c r="Z33" s="12"/>
      <c r="AA33" s="12"/>
      <c r="AB33" s="12"/>
    </row>
    <row r="34" spans="2:106" x14ac:dyDescent="0.2">
      <c r="B34" t="s">
        <v>499</v>
      </c>
      <c r="C34" s="12" t="s">
        <v>518</v>
      </c>
      <c r="D34" s="12">
        <v>2.5</v>
      </c>
      <c r="E34" s="13">
        <v>1800</v>
      </c>
      <c r="F34" s="14"/>
      <c r="G34" s="12" t="s">
        <v>563</v>
      </c>
      <c r="H34" s="12"/>
      <c r="I34" s="12"/>
      <c r="J34" s="12" t="s">
        <v>575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 t="s">
        <v>540</v>
      </c>
      <c r="V34" s="12"/>
      <c r="W34" s="12"/>
      <c r="X34" s="12"/>
      <c r="Y34" s="12"/>
      <c r="Z34" s="12"/>
      <c r="AA34" s="12"/>
      <c r="AB34" s="12"/>
    </row>
    <row r="35" spans="2:106" x14ac:dyDescent="0.2">
      <c r="B35" t="s">
        <v>453</v>
      </c>
      <c r="C35" s="12" t="s">
        <v>518</v>
      </c>
      <c r="D35" s="12">
        <v>2.2999999999999998</v>
      </c>
      <c r="E35" s="13">
        <v>670</v>
      </c>
      <c r="F35" s="12"/>
      <c r="G35" s="12" t="s">
        <v>564</v>
      </c>
      <c r="H35" s="12"/>
      <c r="I35" s="12"/>
      <c r="J35" s="12" t="s">
        <v>575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 t="s">
        <v>541</v>
      </c>
      <c r="V35" s="12"/>
      <c r="W35" s="12"/>
      <c r="X35" s="12"/>
      <c r="Y35" s="12"/>
      <c r="Z35" s="12"/>
      <c r="AA35" s="12"/>
      <c r="AB35" s="12"/>
    </row>
    <row r="36" spans="2:106" x14ac:dyDescent="0.2">
      <c r="B36" t="s">
        <v>454</v>
      </c>
      <c r="C36" s="12" t="s">
        <v>518</v>
      </c>
      <c r="D36" s="15">
        <f>D34*0.85</f>
        <v>2.125</v>
      </c>
      <c r="E36" s="13">
        <f>E34*0.85</f>
        <v>1530</v>
      </c>
      <c r="F36" s="14"/>
      <c r="G36" s="12"/>
      <c r="H36" s="12"/>
      <c r="I36" s="12"/>
      <c r="J36" s="12" t="s">
        <v>575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 t="s">
        <v>490</v>
      </c>
      <c r="V36" s="12"/>
      <c r="W36" s="12"/>
      <c r="X36" s="12"/>
      <c r="Y36" s="12"/>
      <c r="Z36" s="12"/>
      <c r="AA36" s="12"/>
      <c r="AB36" s="12"/>
    </row>
    <row r="37" spans="2:106" x14ac:dyDescent="0.2">
      <c r="B37" t="s">
        <v>500</v>
      </c>
      <c r="C37" s="12" t="s">
        <v>518</v>
      </c>
      <c r="D37" s="12">
        <v>1.9</v>
      </c>
      <c r="E37" s="13">
        <v>900</v>
      </c>
      <c r="F37" s="12"/>
      <c r="G37" s="12"/>
      <c r="H37" s="12"/>
      <c r="I37" s="12"/>
      <c r="J37" s="12" t="s">
        <v>575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 t="s">
        <v>284</v>
      </c>
      <c r="V37" s="12"/>
      <c r="W37" s="12"/>
      <c r="X37" s="12"/>
      <c r="Y37" s="12"/>
      <c r="Z37" s="12"/>
      <c r="AA37" s="12"/>
      <c r="AB37" s="12"/>
    </row>
    <row r="38" spans="2:106" x14ac:dyDescent="0.2">
      <c r="B38" t="s">
        <v>457</v>
      </c>
      <c r="C38" s="12" t="s">
        <v>518</v>
      </c>
      <c r="D38" s="12">
        <v>1.5</v>
      </c>
      <c r="E38" s="13">
        <v>375</v>
      </c>
      <c r="F38" s="12"/>
      <c r="G38" s="12"/>
      <c r="H38" s="12"/>
      <c r="I38" s="12"/>
      <c r="J38" s="12" t="s">
        <v>575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 t="s">
        <v>543</v>
      </c>
      <c r="V38" s="12"/>
      <c r="W38" s="12"/>
      <c r="X38" s="12"/>
      <c r="Y38" s="12"/>
      <c r="Z38" s="12"/>
      <c r="AA38" s="12"/>
      <c r="AB38" s="12"/>
    </row>
    <row r="39" spans="2:106" x14ac:dyDescent="0.2">
      <c r="B39" t="s">
        <v>501</v>
      </c>
      <c r="C39" s="12" t="s">
        <v>518</v>
      </c>
      <c r="D39" s="12">
        <v>0.5</v>
      </c>
      <c r="E39" s="12"/>
      <c r="F39" s="12"/>
      <c r="G39" s="12"/>
      <c r="H39" s="12"/>
      <c r="I39" s="12"/>
      <c r="J39" s="12" t="s">
        <v>575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 t="s">
        <v>284</v>
      </c>
      <c r="V39" s="12"/>
      <c r="W39" s="12"/>
      <c r="X39" s="12"/>
      <c r="Y39" s="12"/>
      <c r="Z39" s="12"/>
      <c r="AA39" s="12"/>
      <c r="AB39" s="12"/>
    </row>
    <row r="40" spans="2:106" x14ac:dyDescent="0.2">
      <c r="B40" t="s">
        <v>456</v>
      </c>
      <c r="C40" s="12" t="s">
        <v>518</v>
      </c>
      <c r="D40" s="12">
        <v>0.2</v>
      </c>
      <c r="E40" s="12"/>
      <c r="F40" s="12"/>
      <c r="G40" s="12" t="s">
        <v>565</v>
      </c>
      <c r="H40" s="12"/>
      <c r="I40" s="12"/>
      <c r="J40" s="12" t="s">
        <v>575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 t="s">
        <v>542</v>
      </c>
      <c r="V40" s="12"/>
      <c r="W40" s="12"/>
      <c r="X40" s="12"/>
      <c r="Y40" s="12"/>
      <c r="Z40" s="12"/>
      <c r="AA40" s="12"/>
      <c r="AB40" s="12"/>
    </row>
    <row r="41" spans="2:106" x14ac:dyDescent="0.2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2:106" x14ac:dyDescent="0.2">
      <c r="B42" t="s">
        <v>516</v>
      </c>
      <c r="C42" s="13">
        <f>SUM(C3:C40)</f>
        <v>883948</v>
      </c>
      <c r="D42" s="13">
        <f>SUM(D33,D27:D31,D22:D24,D20,D18,D3:D16)</f>
        <v>12015</v>
      </c>
      <c r="E42" s="13">
        <f>SUM(E3:E33)</f>
        <v>71542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2:106" x14ac:dyDescent="0.2">
      <c r="C43" s="2"/>
      <c r="D43" s="2"/>
      <c r="E43" s="2"/>
    </row>
    <row r="44" spans="2:106" x14ac:dyDescent="0.2">
      <c r="C44" s="13"/>
      <c r="D44" s="13"/>
      <c r="E44" s="13" t="s">
        <v>510</v>
      </c>
      <c r="F44" s="12" t="s">
        <v>595</v>
      </c>
      <c r="G44" s="12" t="s">
        <v>594</v>
      </c>
      <c r="H44" s="13" t="s">
        <v>596</v>
      </c>
    </row>
    <row r="45" spans="2:106" x14ac:dyDescent="0.2">
      <c r="B45" t="s">
        <v>590</v>
      </c>
      <c r="C45" s="13">
        <f>SUM(C29)</f>
        <v>179000</v>
      </c>
      <c r="D45" s="13">
        <f>SUM(D29)</f>
        <v>20</v>
      </c>
      <c r="E45" s="13">
        <f>SUM(E29)/1000</f>
        <v>9.6999999999999993</v>
      </c>
      <c r="F45" s="14">
        <f>E45/D45</f>
        <v>0.48499999999999999</v>
      </c>
      <c r="G45" s="13">
        <f t="shared" ref="G45:G51" si="0">C45/D45</f>
        <v>8950</v>
      </c>
      <c r="H45" s="14">
        <f>C45/$C$42</f>
        <v>0.20250059958278088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spans="2:106" x14ac:dyDescent="0.2">
      <c r="B46" t="s">
        <v>591</v>
      </c>
      <c r="C46" s="13">
        <f>SUM(C31,C27,C25,C17,C18,C7)</f>
        <v>38928</v>
      </c>
      <c r="D46" s="13">
        <f>SUM(D31,D27,D25,D17,D18,D7)</f>
        <v>1603</v>
      </c>
      <c r="E46" s="13">
        <f>SUM(E31,E27,E25,E17,E18,E7)/1000</f>
        <v>4.4800000000000004</v>
      </c>
      <c r="F46" s="14">
        <f t="shared" ref="F46:F51" si="1">E46/D46</f>
        <v>2.7947598253275112E-3</v>
      </c>
      <c r="G46" s="13">
        <f t="shared" si="0"/>
        <v>24.284466625077979</v>
      </c>
      <c r="H46" s="14">
        <f t="shared" ref="H46:H51" si="2">C46/$C$42</f>
        <v>4.4038789612058628E-2</v>
      </c>
      <c r="I46" s="2"/>
    </row>
    <row r="47" spans="2:106" x14ac:dyDescent="0.2">
      <c r="B47" t="s">
        <v>593</v>
      </c>
      <c r="C47" s="13">
        <f>SUM(C32,C12,C9,C4)</f>
        <v>163420</v>
      </c>
      <c r="D47" s="13">
        <f>SUM(D32,D12,D9,D4)</f>
        <v>2899</v>
      </c>
      <c r="E47" s="13">
        <f>SUM(E32,E28,E27,E18,E19,E8)/1000</f>
        <v>11.712</v>
      </c>
      <c r="F47" s="14">
        <f t="shared" si="1"/>
        <v>4.0400137978613311E-3</v>
      </c>
      <c r="G47" s="13">
        <f t="shared" si="0"/>
        <v>56.371162469817179</v>
      </c>
      <c r="H47" s="14">
        <f t="shared" si="2"/>
        <v>0.18487512840121817</v>
      </c>
      <c r="I47" s="2"/>
    </row>
    <row r="48" spans="2:106" x14ac:dyDescent="0.2">
      <c r="B48" t="s">
        <v>545</v>
      </c>
      <c r="C48" s="13">
        <f>SUM(C28,C24,C23,C22,C15,C14,C1)</f>
        <v>78820</v>
      </c>
      <c r="D48" s="13">
        <f>SUM(D28,D24,D23,D22,D15,D14,D1)</f>
        <v>804</v>
      </c>
      <c r="E48" s="13">
        <f>SUM(E33,E29,E28,E19,E20,E9)/1000</f>
        <v>18.8</v>
      </c>
      <c r="F48" s="14">
        <f t="shared" si="1"/>
        <v>2.3383084577114428E-2</v>
      </c>
      <c r="G48" s="13">
        <f t="shared" si="0"/>
        <v>98.03482587064677</v>
      </c>
      <c r="H48" s="14">
        <f t="shared" si="2"/>
        <v>8.9168141112373131E-2</v>
      </c>
      <c r="I48" s="2"/>
    </row>
    <row r="49" spans="1:9" x14ac:dyDescent="0.2">
      <c r="B49" t="s">
        <v>544</v>
      </c>
      <c r="C49" s="13">
        <f>SUM(C33,C30,C20,C13,C16)</f>
        <v>131000</v>
      </c>
      <c r="D49" s="13">
        <f>SUM(D33,D30,D20,D13,D16)</f>
        <v>898</v>
      </c>
      <c r="E49" s="13">
        <f>SUM(E34,E30,E29,E20,E21,E10)/1000</f>
        <v>38.799999999999997</v>
      </c>
      <c r="F49" s="14">
        <f t="shared" si="1"/>
        <v>4.320712694877505E-2</v>
      </c>
      <c r="G49" s="13">
        <f t="shared" si="0"/>
        <v>145.87973273942094</v>
      </c>
      <c r="H49" s="14">
        <f t="shared" si="2"/>
        <v>0.1481987628231525</v>
      </c>
      <c r="I49" s="2"/>
    </row>
    <row r="50" spans="1:9" x14ac:dyDescent="0.2">
      <c r="B50" t="s">
        <v>592</v>
      </c>
      <c r="C50" s="13">
        <f>SUM(C3,C6,C11)</f>
        <v>100720</v>
      </c>
      <c r="D50" s="13">
        <f>SUM(D3,D6,D11)</f>
        <v>3343</v>
      </c>
      <c r="E50" s="13">
        <f>SUM(E35,E31,E30,E21,E22,E11)/1000</f>
        <v>9.27</v>
      </c>
      <c r="F50" s="14">
        <f t="shared" si="1"/>
        <v>2.7729584205803169E-3</v>
      </c>
      <c r="G50" s="13">
        <f t="shared" si="0"/>
        <v>30.128626981752916</v>
      </c>
      <c r="H50" s="14">
        <f t="shared" si="2"/>
        <v>0.11394335413395358</v>
      </c>
    </row>
    <row r="51" spans="1:9" x14ac:dyDescent="0.2">
      <c r="A51" t="s">
        <v>491</v>
      </c>
      <c r="B51" t="s">
        <v>525</v>
      </c>
      <c r="C51" s="13">
        <f>SUM(C5,C8,C10,C19)</f>
        <v>192060</v>
      </c>
      <c r="D51" s="13">
        <f>SUM(D5,D8,D10,D19)</f>
        <v>2962</v>
      </c>
      <c r="E51" s="13">
        <f>SUM(E36,E32,E31,E22,E23,E12)/1000</f>
        <v>4.5039999999999996</v>
      </c>
      <c r="F51" s="14">
        <f t="shared" si="1"/>
        <v>1.5205941931127616E-3</v>
      </c>
      <c r="G51" s="13">
        <f t="shared" si="0"/>
        <v>64.841323430114784</v>
      </c>
      <c r="H51" s="14">
        <f t="shared" si="2"/>
        <v>0.21727522433446311</v>
      </c>
    </row>
    <row r="52" spans="1:9" x14ac:dyDescent="0.2">
      <c r="C52" s="2"/>
      <c r="D52" s="2"/>
      <c r="E52" s="2"/>
      <c r="F52" s="3"/>
      <c r="G52" s="2"/>
      <c r="H52" s="3"/>
    </row>
    <row r="53" spans="1:9" x14ac:dyDescent="0.2">
      <c r="B53" t="s">
        <v>454</v>
      </c>
      <c r="C53" s="2">
        <f>D53*G53</f>
        <v>27901.25</v>
      </c>
      <c r="D53" s="10">
        <f>D36</f>
        <v>2.125</v>
      </c>
      <c r="E53" s="10">
        <f>E36/1000</f>
        <v>1.53</v>
      </c>
      <c r="F53" s="3">
        <f>E53/D53</f>
        <v>0.72</v>
      </c>
      <c r="G53" s="2">
        <v>13130</v>
      </c>
    </row>
    <row r="54" spans="1:9" x14ac:dyDescent="0.2">
      <c r="C54" s="6"/>
      <c r="E54" s="6"/>
      <c r="G54" t="s">
        <v>598</v>
      </c>
    </row>
    <row r="55" spans="1:9" x14ac:dyDescent="0.2">
      <c r="G55" t="s">
        <v>599</v>
      </c>
    </row>
    <row r="56" spans="1:9" x14ac:dyDescent="0.2">
      <c r="G56" t="s">
        <v>600</v>
      </c>
    </row>
    <row r="57" spans="1:9" x14ac:dyDescent="0.2">
      <c r="G57" s="11" t="s">
        <v>601</v>
      </c>
    </row>
  </sheetData>
  <hyperlinks>
    <hyperlink ref="A1" location="Main!A1" display="Main" xr:uid="{B1C32F4A-26DB-4731-A542-EEE3F60BB487}"/>
  </hyperlink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60EB-C167-4B88-B4B7-E61940B40B35}">
  <dimension ref="A1:H11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2.75" x14ac:dyDescent="0.2"/>
  <cols>
    <col min="1" max="1" width="5" bestFit="1" customWidth="1"/>
    <col min="2" max="2" width="18.5703125" bestFit="1" customWidth="1"/>
  </cols>
  <sheetData>
    <row r="1" spans="1:8" x14ac:dyDescent="0.2">
      <c r="A1" s="1" t="s">
        <v>16</v>
      </c>
    </row>
    <row r="2" spans="1:8" x14ac:dyDescent="0.2">
      <c r="B2" t="s">
        <v>0</v>
      </c>
      <c r="C2" t="s">
        <v>421</v>
      </c>
      <c r="D2" t="s">
        <v>422</v>
      </c>
      <c r="E2" t="s">
        <v>423</v>
      </c>
      <c r="F2" t="s">
        <v>424</v>
      </c>
      <c r="G2" t="s">
        <v>13</v>
      </c>
      <c r="H2" t="s">
        <v>425</v>
      </c>
    </row>
    <row r="3" spans="1:8" x14ac:dyDescent="0.2">
      <c r="B3" t="s">
        <v>280</v>
      </c>
      <c r="C3" s="2">
        <v>14000</v>
      </c>
    </row>
    <row r="4" spans="1:8" x14ac:dyDescent="0.2">
      <c r="B4" t="s">
        <v>272</v>
      </c>
      <c r="C4" s="2">
        <v>3000</v>
      </c>
    </row>
    <row r="5" spans="1:8" x14ac:dyDescent="0.2">
      <c r="B5" t="s">
        <v>273</v>
      </c>
      <c r="C5" s="2">
        <v>2000</v>
      </c>
    </row>
    <row r="6" spans="1:8" x14ac:dyDescent="0.2">
      <c r="B6" t="s">
        <v>274</v>
      </c>
      <c r="C6" s="2">
        <v>1700</v>
      </c>
    </row>
    <row r="7" spans="1:8" x14ac:dyDescent="0.2">
      <c r="B7" t="s">
        <v>275</v>
      </c>
      <c r="C7" s="2">
        <v>1400</v>
      </c>
    </row>
    <row r="8" spans="1:8" x14ac:dyDescent="0.2">
      <c r="B8" t="s">
        <v>276</v>
      </c>
      <c r="C8" s="2">
        <v>1350</v>
      </c>
    </row>
    <row r="9" spans="1:8" x14ac:dyDescent="0.2">
      <c r="B9" t="s">
        <v>277</v>
      </c>
      <c r="C9" s="2">
        <v>1250</v>
      </c>
    </row>
    <row r="10" spans="1:8" x14ac:dyDescent="0.2">
      <c r="B10" t="s">
        <v>278</v>
      </c>
      <c r="C10" s="2">
        <v>1055</v>
      </c>
    </row>
    <row r="11" spans="1:8" x14ac:dyDescent="0.2">
      <c r="B11" t="s">
        <v>279</v>
      </c>
      <c r="C11" s="2">
        <v>1000</v>
      </c>
    </row>
  </sheetData>
  <hyperlinks>
    <hyperlink ref="A1" location="Main!A1" display="Main" xr:uid="{2290781E-A10C-4D20-9C89-702989AEBC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D4FA-4A0D-4093-BFB0-AC151F092109}">
  <dimension ref="A1:F20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8" sqref="D18"/>
    </sheetView>
  </sheetViews>
  <sheetFormatPr defaultRowHeight="12.75" x14ac:dyDescent="0.2"/>
  <cols>
    <col min="1" max="1" width="5" bestFit="1" customWidth="1"/>
    <col min="2" max="2" width="19.42578125" bestFit="1" customWidth="1"/>
    <col min="4" max="4" width="8.5703125" bestFit="1" customWidth="1"/>
    <col min="6" max="6" width="17.85546875" bestFit="1" customWidth="1"/>
  </cols>
  <sheetData>
    <row r="1" spans="1:6" x14ac:dyDescent="0.2">
      <c r="A1" s="1" t="s">
        <v>16</v>
      </c>
    </row>
    <row r="2" spans="1:6" x14ac:dyDescent="0.2">
      <c r="B2" t="s">
        <v>0</v>
      </c>
      <c r="C2" t="s">
        <v>252</v>
      </c>
      <c r="D2" t="s">
        <v>271</v>
      </c>
      <c r="E2" t="s">
        <v>13</v>
      </c>
      <c r="F2" t="s">
        <v>283</v>
      </c>
    </row>
    <row r="3" spans="1:6" x14ac:dyDescent="0.2">
      <c r="B3" t="s">
        <v>253</v>
      </c>
      <c r="C3" s="2">
        <v>22000</v>
      </c>
      <c r="D3" s="3"/>
      <c r="E3">
        <v>2000</v>
      </c>
      <c r="F3" t="s">
        <v>433</v>
      </c>
    </row>
    <row r="4" spans="1:6" x14ac:dyDescent="0.2">
      <c r="B4" t="s">
        <v>254</v>
      </c>
      <c r="C4" s="2">
        <v>18200</v>
      </c>
      <c r="D4" s="3"/>
      <c r="E4">
        <v>1989</v>
      </c>
      <c r="F4" t="s">
        <v>282</v>
      </c>
    </row>
    <row r="5" spans="1:6" x14ac:dyDescent="0.2">
      <c r="B5" t="s">
        <v>255</v>
      </c>
      <c r="C5" s="2">
        <v>16100</v>
      </c>
      <c r="D5" s="3"/>
      <c r="E5">
        <v>1994</v>
      </c>
    </row>
    <row r="6" spans="1:6" x14ac:dyDescent="0.2">
      <c r="B6" t="s">
        <v>256</v>
      </c>
      <c r="C6" s="2">
        <v>11300</v>
      </c>
      <c r="D6" s="3">
        <v>0.28399999999999997</v>
      </c>
      <c r="E6">
        <v>2004</v>
      </c>
    </row>
    <row r="7" spans="1:6" x14ac:dyDescent="0.2">
      <c r="B7" t="s">
        <v>257</v>
      </c>
      <c r="C7" s="2">
        <v>9700</v>
      </c>
    </row>
    <row r="8" spans="1:6" x14ac:dyDescent="0.2">
      <c r="B8" t="s">
        <v>258</v>
      </c>
      <c r="C8" s="2">
        <v>7020</v>
      </c>
      <c r="F8" t="s">
        <v>281</v>
      </c>
    </row>
    <row r="9" spans="1:6" x14ac:dyDescent="0.2">
      <c r="B9" t="s">
        <v>262</v>
      </c>
      <c r="C9" s="2">
        <v>6100</v>
      </c>
    </row>
    <row r="10" spans="1:6" x14ac:dyDescent="0.2">
      <c r="B10" t="s">
        <v>265</v>
      </c>
      <c r="C10" s="2">
        <v>5800</v>
      </c>
    </row>
    <row r="11" spans="1:6" x14ac:dyDescent="0.2">
      <c r="B11" t="s">
        <v>266</v>
      </c>
      <c r="C11" s="2">
        <v>5800</v>
      </c>
    </row>
    <row r="12" spans="1:6" x14ac:dyDescent="0.2">
      <c r="B12" t="s">
        <v>263</v>
      </c>
      <c r="C12" s="2">
        <v>5100</v>
      </c>
    </row>
    <row r="13" spans="1:6" x14ac:dyDescent="0.2">
      <c r="B13" t="s">
        <v>259</v>
      </c>
      <c r="C13" s="2">
        <v>5000</v>
      </c>
    </row>
    <row r="14" spans="1:6" x14ac:dyDescent="0.2">
      <c r="B14" t="s">
        <v>267</v>
      </c>
      <c r="C14" s="2">
        <v>4500</v>
      </c>
    </row>
    <row r="15" spans="1:6" x14ac:dyDescent="0.2">
      <c r="B15" t="s">
        <v>268</v>
      </c>
      <c r="C15" s="2">
        <v>4000</v>
      </c>
    </row>
    <row r="16" spans="1:6" x14ac:dyDescent="0.2">
      <c r="B16" t="s">
        <v>260</v>
      </c>
      <c r="C16" s="2">
        <v>2600</v>
      </c>
    </row>
    <row r="17" spans="2:3" x14ac:dyDescent="0.2">
      <c r="B17" t="s">
        <v>264</v>
      </c>
      <c r="C17" s="2">
        <v>2400</v>
      </c>
    </row>
    <row r="18" spans="2:3" x14ac:dyDescent="0.2">
      <c r="B18" t="s">
        <v>261</v>
      </c>
      <c r="C18" s="2">
        <v>2000</v>
      </c>
    </row>
    <row r="19" spans="2:3" x14ac:dyDescent="0.2">
      <c r="B19" t="s">
        <v>269</v>
      </c>
      <c r="C19" s="2">
        <v>1800</v>
      </c>
    </row>
    <row r="20" spans="2:3" x14ac:dyDescent="0.2">
      <c r="B20" t="s">
        <v>270</v>
      </c>
      <c r="C20" s="2">
        <v>400</v>
      </c>
    </row>
  </sheetData>
  <hyperlinks>
    <hyperlink ref="A1" location="Main!A1" display="Main" xr:uid="{AF3E7F5B-DADA-4CB8-ACE5-C72ABEFBF5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Todo</vt:lpstr>
      <vt:lpstr>Drugs</vt:lpstr>
      <vt:lpstr>Diseases</vt:lpstr>
      <vt:lpstr>Private</vt:lpstr>
      <vt:lpstr>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2025-07-24T04:48:39Z</dcterms:created>
  <dcterms:modified xsi:type="dcterms:W3CDTF">2025-08-23T11:36:14Z</dcterms:modified>
</cp:coreProperties>
</file>