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2A571555-11A5-4F5D-89F0-FFA6CC1FC754}" xr6:coauthVersionLast="47" xr6:coauthVersionMax="47" xr10:uidLastSave="{00000000-0000-0000-0000-000000000000}"/>
  <bookViews>
    <workbookView xWindow="-105" yWindow="0" windowWidth="14610" windowHeight="15585" activeTab="1" xr2:uid="{27F3582B-0D61-4416-BCF9-804F6891F1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2" l="1"/>
  <c r="Q5" i="2"/>
  <c r="R5" i="2" s="1"/>
  <c r="S5" i="2" s="1"/>
  <c r="T5" i="2" s="1"/>
  <c r="P5" i="2"/>
  <c r="N25" i="2"/>
  <c r="O25" i="2"/>
  <c r="M25" i="2"/>
  <c r="N29" i="2"/>
  <c r="O29" i="2"/>
  <c r="M29" i="2"/>
  <c r="P28" i="2"/>
  <c r="Q23" i="2"/>
  <c r="R23" i="2" s="1"/>
  <c r="S23" i="2" s="1"/>
  <c r="T23" i="2" s="1"/>
  <c r="P13" i="2"/>
  <c r="O31" i="2"/>
  <c r="O35" i="2"/>
  <c r="O33" i="2"/>
  <c r="N21" i="2"/>
  <c r="O21" i="2"/>
  <c r="M21" i="2"/>
  <c r="P6" i="2"/>
  <c r="P7" i="2" s="1"/>
  <c r="N23" i="2"/>
  <c r="P20" i="2"/>
  <c r="P11" i="2" s="1"/>
  <c r="O20" i="2"/>
  <c r="N20" i="2"/>
  <c r="N11" i="2"/>
  <c r="O11" i="2"/>
  <c r="M11" i="2"/>
  <c r="M12" i="2" s="1"/>
  <c r="M14" i="2" s="1"/>
  <c r="M16" i="2" s="1"/>
  <c r="N7" i="2"/>
  <c r="O7" i="2"/>
  <c r="O23" i="2" s="1"/>
  <c r="M7" i="2"/>
  <c r="M23" i="2" s="1"/>
  <c r="N5" i="2"/>
  <c r="O5" i="2"/>
  <c r="M5" i="2"/>
  <c r="L1" i="2"/>
  <c r="M1" i="2" s="1"/>
  <c r="N1" i="2" s="1"/>
  <c r="O1" i="2" s="1"/>
  <c r="P1" i="2" s="1"/>
  <c r="Q1" i="2" s="1"/>
  <c r="R1" i="2" s="1"/>
  <c r="S1" i="2" s="1"/>
  <c r="T1" i="2" s="1"/>
  <c r="D7" i="1"/>
  <c r="D6" i="1"/>
  <c r="D5" i="1"/>
  <c r="D3" i="1"/>
  <c r="D4" i="1"/>
  <c r="Q20" i="2" l="1"/>
  <c r="Q28" i="2" s="1"/>
  <c r="R20" i="2"/>
  <c r="Q11" i="2"/>
  <c r="P12" i="2"/>
  <c r="R6" i="2"/>
  <c r="R7" i="2" s="1"/>
  <c r="Q6" i="2"/>
  <c r="Q7" i="2" s="1"/>
  <c r="Q12" i="2" s="1"/>
  <c r="Q24" i="2" s="1"/>
  <c r="S6" i="2"/>
  <c r="S7" i="2" s="1"/>
  <c r="N12" i="2"/>
  <c r="P14" i="2"/>
  <c r="P24" i="2"/>
  <c r="O12" i="2"/>
  <c r="N24" i="2"/>
  <c r="N14" i="2"/>
  <c r="N16" i="2" s="1"/>
  <c r="M24" i="2"/>
  <c r="R11" i="2" l="1"/>
  <c r="R28" i="2"/>
  <c r="R12" i="2"/>
  <c r="R24" i="2" s="1"/>
  <c r="S20" i="2"/>
  <c r="S11" i="2" s="1"/>
  <c r="P15" i="2"/>
  <c r="P16" i="2" s="1"/>
  <c r="P27" i="2" s="1"/>
  <c r="P29" i="2" s="1"/>
  <c r="P25" i="2" s="1"/>
  <c r="O24" i="2"/>
  <c r="O14" i="2"/>
  <c r="O16" i="2" s="1"/>
  <c r="S28" i="2" l="1"/>
  <c r="P31" i="2"/>
  <c r="S12" i="2"/>
  <c r="T20" i="2"/>
  <c r="T11" i="2" s="1"/>
  <c r="T6" i="2"/>
  <c r="T7" i="2" s="1"/>
  <c r="T28" i="2" l="1"/>
  <c r="Q13" i="2"/>
  <c r="Q14" i="2" s="1"/>
  <c r="Q15" i="2" s="1"/>
  <c r="Q16" i="2" s="1"/>
  <c r="T12" i="2"/>
  <c r="S24" i="2"/>
  <c r="Q31" i="2" l="1"/>
  <c r="R13" i="2" s="1"/>
  <c r="R14" i="2" s="1"/>
  <c r="R15" i="2" s="1"/>
  <c r="R16" i="2" s="1"/>
  <c r="R27" i="2" s="1"/>
  <c r="R29" i="2" s="1"/>
  <c r="R25" i="2" s="1"/>
  <c r="Q27" i="2"/>
  <c r="Q29" i="2" s="1"/>
  <c r="R31" i="2"/>
  <c r="T24" i="2"/>
  <c r="Q25" i="2" l="1"/>
  <c r="S13" i="2"/>
  <c r="S14" i="2" s="1"/>
  <c r="S15" i="2" s="1"/>
  <c r="S16" i="2" s="1"/>
  <c r="S27" i="2" s="1"/>
  <c r="S29" i="2" s="1"/>
  <c r="S25" i="2" s="1"/>
  <c r="S31" i="2" l="1"/>
  <c r="T13" i="2" l="1"/>
  <c r="T14" i="2" s="1"/>
  <c r="T15" i="2" s="1"/>
  <c r="T16" i="2" s="1"/>
  <c r="U16" i="2" l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T27" i="2"/>
  <c r="T29" i="2" s="1"/>
  <c r="T31" i="2"/>
  <c r="T25" i="2" l="1"/>
  <c r="U29" i="2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W22" i="2" l="1"/>
  <c r="W23" i="2" s="1"/>
  <c r="W24" i="2" s="1"/>
</calcChain>
</file>

<file path=xl/sharedStrings.xml><?xml version="1.0" encoding="utf-8"?>
<sst xmlns="http://schemas.openxmlformats.org/spreadsheetml/2006/main" count="49" uniqueCount="45">
  <si>
    <t>META</t>
  </si>
  <si>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</si>
  <si>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</si>
  <si>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</si>
  <si>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</si>
  <si>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</si>
  <si>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</si>
  <si>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</si>
  <si>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</si>
  <si>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</si>
  <si>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</si>
  <si>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Advertising</t>
  </si>
  <si>
    <t>Reality Labs</t>
  </si>
  <si>
    <t>S&amp;M</t>
  </si>
  <si>
    <t>G&amp;A</t>
  </si>
  <si>
    <t>OPEX</t>
  </si>
  <si>
    <t>Operating Income</t>
  </si>
  <si>
    <t>Pretax Income</t>
  </si>
  <si>
    <t>Interest</t>
  </si>
  <si>
    <t>Tax</t>
  </si>
  <si>
    <t>Net Income</t>
  </si>
  <si>
    <t>EPS</t>
  </si>
  <si>
    <t>Revenue Growth</t>
  </si>
  <si>
    <t>Gross Margin</t>
  </si>
  <si>
    <t>Operating Margin</t>
  </si>
  <si>
    <t>FCF Margin</t>
  </si>
  <si>
    <t>CFFO</t>
  </si>
  <si>
    <t>CX</t>
  </si>
  <si>
    <t>FCF</t>
  </si>
  <si>
    <t>Net Cash</t>
  </si>
  <si>
    <t>Tax Rate</t>
  </si>
  <si>
    <t>Q124</t>
  </si>
  <si>
    <t>Q224</t>
  </si>
  <si>
    <t>Q324</t>
  </si>
  <si>
    <t>Q424</t>
  </si>
  <si>
    <t>Q125</t>
  </si>
  <si>
    <t>Q225</t>
  </si>
  <si>
    <t>Q325</t>
  </si>
  <si>
    <t>Q425</t>
  </si>
  <si>
    <t>Other</t>
  </si>
  <si>
    <t>ROIC</t>
  </si>
  <si>
    <t>Maturity</t>
  </si>
  <si>
    <t>Discount</t>
  </si>
  <si>
    <t>NPV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</si>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</sst>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3" fontId="0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9525</xdr:rowOff>
    </xdr:from>
    <xdr:to>
      <xdr:col>5</xdr:col>
      <xdr:colOff>9525</xdr:colOff>
      <xdr:row>37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BD6462B-F670-65B3-047A-AE81BBCF0E31}"/>
            </a:ext>
          </a:extLst>
        </xdr:cNvPr>
        <xdr:cNvCxnSpPr/>
      </xdr:nvCxnSpPr>
      <xdr:spPr>
        <a:xfrm>
          <a:off x="3552825" y="9525"/>
          <a:ext cx="28575" cy="6934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28575</xdr:colOff>
      <xdr:row>37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633B661-B4C6-40FF-91D5-EDE21B27AAA1}"/>
            </a:ext>
          </a:extLst>
        </xdr:cNvPr>
        <xdr:cNvCxnSpPr/>
      </xdr:nvCxnSpPr>
      <xdr:spPr>
        <a:xfrm>
          <a:off x="9667875" y="0"/>
          <a:ext cx="28575" cy="6934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B066-5213-42B1-820E-C438AF6621F9}">
  <dimension ref="A1:D7"/>
  <sheetViews>
    <sheetView zoomScale="265" zoomScaleNormal="265" workbookViewId="0">
      <selection activeCell="D6" sqref="D6"/>
    </sheetView>
  </sheetViews>
  <sheetFormatPr defaultRowHeight="15" x14ac:dyDescent="0.25"/>
  <cols>
    <col min="4" max="4" width="10" customWidth="1"/>
  </cols>
  <sheetData>
    <row r="1" spans="1:4" x14ac:dyDescent="0.25">
      <c r="A1" s="1" t="s">
        <v>0</v>
      </c>
    </row>
    <row r="2" spans="1:4" x14ac:dyDescent="0.25">
      <c r="C2" t="s">
        <v>1</v>
      </c>
      <c r="D2" s="2">
        <v>550</v>
      </c>
    </row>
    <row r="3" spans="1:4" x14ac:dyDescent="0.25">
      <c r="C3" t="s">
        <v>2</v>
      </c>
      <c r="D3" s="2">
        <f>2189.9+343.8</f>
        <v>2533.7000000000003</v>
      </c>
    </row>
    <row r="4" spans="1:4" x14ac:dyDescent="0.25">
      <c r="C4" t="s">
        <v>3</v>
      </c>
      <c r="D4" s="2">
        <f>D3*D2</f>
        <v>1393535.0000000002</v>
      </c>
    </row>
    <row r="5" spans="1:4" x14ac:dyDescent="0.25">
      <c r="C5" t="s">
        <v>4</v>
      </c>
      <c r="D5" s="2">
        <f>43889+33926</f>
        <v>77815</v>
      </c>
    </row>
    <row r="6" spans="1:4" x14ac:dyDescent="0.25">
      <c r="C6" t="s">
        <v>5</v>
      </c>
      <c r="D6" s="2">
        <f>28826+9987+2716</f>
        <v>41529</v>
      </c>
    </row>
    <row r="7" spans="1:4" x14ac:dyDescent="0.25">
      <c r="C7" t="s">
        <v>6</v>
      </c>
      <c r="D7" s="2">
        <f>D4+D6-D5</f>
        <v>1357249.0000000002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5AA4-BDC3-4CA3-B5F0-D343E2844B7B}">
  <dimension ref="A1:DK35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Q23" sqref="Q23"/>
    </sheetView>
  </sheetViews>
  <sheetFormatPr defaultRowHeight="15" x14ac:dyDescent="0.25"/>
  <cols>
    <col min="1" max="1" width="17" style="2" customWidth="1"/>
    <col min="2" max="4" width="9.140625" style="2"/>
    <col min="5" max="5" width="9.140625" style="2" customWidth="1"/>
    <col min="6" max="16384" width="9.140625" style="2"/>
  </cols>
  <sheetData>
    <row r="1" spans="1:111" x14ac:dyDescent="0.25"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K1" s="4">
        <v>2020</v>
      </c>
      <c r="L1" s="4">
        <f>K1+1</f>
        <v>2021</v>
      </c>
      <c r="M1" s="4">
        <f t="shared" ref="M1:T1" si="0">L1+1</f>
        <v>2022</v>
      </c>
      <c r="N1" s="4">
        <f t="shared" si="0"/>
        <v>2023</v>
      </c>
      <c r="O1" s="4">
        <f t="shared" si="0"/>
        <v>2024</v>
      </c>
      <c r="P1" s="4">
        <f t="shared" si="0"/>
        <v>2025</v>
      </c>
      <c r="Q1" s="4">
        <f t="shared" si="0"/>
        <v>2026</v>
      </c>
      <c r="R1" s="4">
        <f t="shared" si="0"/>
        <v>2027</v>
      </c>
      <c r="S1" s="4">
        <f t="shared" si="0"/>
        <v>2028</v>
      </c>
      <c r="T1" s="4">
        <f t="shared" si="0"/>
        <v>2029</v>
      </c>
    </row>
    <row r="2" spans="1:111" x14ac:dyDescent="0.25">
      <c r="A2" s="2" t="s">
        <v>11</v>
      </c>
      <c r="M2" s="2">
        <v>113642</v>
      </c>
      <c r="N2" s="2">
        <v>131948</v>
      </c>
      <c r="O2" s="2">
        <v>160633</v>
      </c>
    </row>
    <row r="3" spans="1:111" x14ac:dyDescent="0.25">
      <c r="A3" s="2" t="s">
        <v>39</v>
      </c>
      <c r="M3" s="2">
        <v>808</v>
      </c>
      <c r="N3" s="2">
        <v>1058</v>
      </c>
      <c r="O3" s="2">
        <v>1722</v>
      </c>
    </row>
    <row r="4" spans="1:111" x14ac:dyDescent="0.25">
      <c r="A4" s="2" t="s">
        <v>12</v>
      </c>
      <c r="M4" s="2">
        <v>2159</v>
      </c>
      <c r="N4" s="2">
        <v>1896</v>
      </c>
      <c r="O4" s="2">
        <v>2146</v>
      </c>
    </row>
    <row r="5" spans="1:111" s="3" customFormat="1" x14ac:dyDescent="0.25">
      <c r="A5" s="3" t="s">
        <v>7</v>
      </c>
      <c r="M5" s="3">
        <f>SUM(M2:M4)</f>
        <v>116609</v>
      </c>
      <c r="N5" s="3">
        <f t="shared" ref="N5:T5" si="1">SUM(N2:N4)</f>
        <v>134902</v>
      </c>
      <c r="O5" s="3">
        <f t="shared" si="1"/>
        <v>164501</v>
      </c>
      <c r="P5" s="3">
        <f>O5*1.14</f>
        <v>187531.13999999998</v>
      </c>
      <c r="Q5" s="3">
        <f t="shared" ref="Q5:T5" si="2">P5*1.14</f>
        <v>213785.49959999995</v>
      </c>
      <c r="R5" s="3">
        <f t="shared" si="2"/>
        <v>243715.46954399993</v>
      </c>
      <c r="S5" s="3">
        <f t="shared" si="2"/>
        <v>277835.63528015988</v>
      </c>
      <c r="T5" s="3">
        <f t="shared" si="2"/>
        <v>316732.62421938224</v>
      </c>
    </row>
    <row r="6" spans="1:111" x14ac:dyDescent="0.25">
      <c r="A6" s="2" t="s">
        <v>8</v>
      </c>
      <c r="M6" s="2">
        <v>25249</v>
      </c>
      <c r="N6" s="2">
        <v>25959</v>
      </c>
      <c r="O6" s="2">
        <v>30161</v>
      </c>
      <c r="P6" s="2">
        <f>P5*(1-P23)</f>
        <v>33617.802000000018</v>
      </c>
      <c r="Q6" s="2">
        <f t="shared" ref="Q6:T6" si="3">Q5*(1-Q23)</f>
        <v>37446.988253400028</v>
      </c>
      <c r="R6" s="2">
        <f t="shared" si="3"/>
        <v>41684.437094200446</v>
      </c>
      <c r="S6" s="2">
        <f t="shared" si="3"/>
        <v>46368.681402424656</v>
      </c>
      <c r="T6" s="2">
        <f t="shared" si="3"/>
        <v>51540.935161661044</v>
      </c>
    </row>
    <row r="7" spans="1:111" x14ac:dyDescent="0.25">
      <c r="A7" s="2" t="s">
        <v>9</v>
      </c>
      <c r="M7" s="2">
        <f>M5-M6</f>
        <v>91360</v>
      </c>
      <c r="N7" s="2">
        <f t="shared" ref="N7:T7" si="4">N5-N6</f>
        <v>108943</v>
      </c>
      <c r="O7" s="2">
        <f t="shared" si="4"/>
        <v>134340</v>
      </c>
      <c r="P7" s="2">
        <f t="shared" si="4"/>
        <v>153913.33799999996</v>
      </c>
      <c r="Q7" s="2">
        <f t="shared" si="4"/>
        <v>176338.51134659993</v>
      </c>
      <c r="R7" s="2">
        <f t="shared" si="4"/>
        <v>202031.03244979947</v>
      </c>
      <c r="S7" s="2">
        <f t="shared" si="4"/>
        <v>231466.95387773524</v>
      </c>
      <c r="T7" s="2">
        <f t="shared" si="4"/>
        <v>265191.68905772117</v>
      </c>
    </row>
    <row r="8" spans="1:111" x14ac:dyDescent="0.25">
      <c r="A8" s="2" t="s">
        <v>10</v>
      </c>
      <c r="M8" s="2">
        <v>35338</v>
      </c>
      <c r="N8" s="2">
        <v>38483</v>
      </c>
      <c r="O8" s="2">
        <v>43873</v>
      </c>
    </row>
    <row r="9" spans="1:111" x14ac:dyDescent="0.25">
      <c r="A9" s="2" t="s">
        <v>13</v>
      </c>
      <c r="M9" s="2">
        <v>15262</v>
      </c>
      <c r="N9" s="2">
        <v>12301</v>
      </c>
      <c r="O9" s="2">
        <v>11347</v>
      </c>
    </row>
    <row r="10" spans="1:111" x14ac:dyDescent="0.25">
      <c r="A10" s="2" t="s">
        <v>14</v>
      </c>
      <c r="M10" s="2">
        <v>11816</v>
      </c>
      <c r="N10" s="2">
        <v>11408</v>
      </c>
      <c r="O10" s="2">
        <v>9740</v>
      </c>
    </row>
    <row r="11" spans="1:111" x14ac:dyDescent="0.25">
      <c r="A11" s="2" t="s">
        <v>15</v>
      </c>
      <c r="M11" s="2">
        <f>SUM(M8:M10)</f>
        <v>62416</v>
      </c>
      <c r="N11" s="2">
        <f t="shared" ref="N11:T11" si="5">SUM(N8:N10)</f>
        <v>62192</v>
      </c>
      <c r="O11" s="2">
        <f t="shared" si="5"/>
        <v>64960</v>
      </c>
      <c r="P11" s="2">
        <f>O11*(1+P20)</f>
        <v>74054.399999999994</v>
      </c>
      <c r="Q11" s="2">
        <f t="shared" ref="Q11:T11" si="6">P11*(1+Q20)</f>
        <v>84422.015999999989</v>
      </c>
      <c r="R11" s="2">
        <f t="shared" si="6"/>
        <v>96241.098239999978</v>
      </c>
      <c r="S11" s="2">
        <f t="shared" si="6"/>
        <v>109714.85199359996</v>
      </c>
      <c r="T11" s="2">
        <f t="shared" si="6"/>
        <v>125074.93127270395</v>
      </c>
    </row>
    <row r="12" spans="1:111" x14ac:dyDescent="0.25">
      <c r="A12" s="2" t="s">
        <v>16</v>
      </c>
      <c r="M12" s="2">
        <f>M7-M11</f>
        <v>28944</v>
      </c>
      <c r="N12" s="2">
        <f t="shared" ref="N12:T12" si="7">N7-N11</f>
        <v>46751</v>
      </c>
      <c r="O12" s="2">
        <f t="shared" si="7"/>
        <v>69380</v>
      </c>
      <c r="P12" s="2">
        <f t="shared" si="7"/>
        <v>79858.937999999966</v>
      </c>
      <c r="Q12" s="2">
        <f t="shared" si="7"/>
        <v>91916.495346599942</v>
      </c>
      <c r="R12" s="2">
        <f t="shared" si="7"/>
        <v>105789.9342097995</v>
      </c>
      <c r="S12" s="2">
        <f t="shared" si="7"/>
        <v>121752.10188413528</v>
      </c>
      <c r="T12" s="2">
        <f t="shared" si="7"/>
        <v>140116.75778501722</v>
      </c>
    </row>
    <row r="13" spans="1:111" x14ac:dyDescent="0.25">
      <c r="A13" s="2" t="s">
        <v>18</v>
      </c>
      <c r="M13" s="2">
        <v>-125</v>
      </c>
      <c r="N13" s="2">
        <v>677</v>
      </c>
      <c r="O13" s="2">
        <v>1283</v>
      </c>
      <c r="P13" s="2">
        <f>O31*$W$19</f>
        <v>2177.16</v>
      </c>
      <c r="Q13" s="2">
        <f t="shared" ref="Q13:T13" si="8">P31*$W$19</f>
        <v>6164.1143627999982</v>
      </c>
      <c r="R13" s="2">
        <f t="shared" si="8"/>
        <v>10930.831994676833</v>
      </c>
      <c r="S13" s="2">
        <f t="shared" si="8"/>
        <v>16603.461232214384</v>
      </c>
      <c r="T13" s="2">
        <f t="shared" si="8"/>
        <v>23327.541599668977</v>
      </c>
    </row>
    <row r="14" spans="1:111" x14ac:dyDescent="0.25">
      <c r="A14" s="2" t="s">
        <v>17</v>
      </c>
      <c r="M14" s="2">
        <f>M12+M13</f>
        <v>28819</v>
      </c>
      <c r="N14" s="2">
        <f t="shared" ref="N14:T14" si="9">N12+N13</f>
        <v>47428</v>
      </c>
      <c r="O14" s="2">
        <f t="shared" si="9"/>
        <v>70663</v>
      </c>
      <c r="P14" s="2">
        <f t="shared" si="9"/>
        <v>82036.097999999969</v>
      </c>
      <c r="Q14" s="2">
        <f t="shared" si="9"/>
        <v>98080.609709399941</v>
      </c>
      <c r="R14" s="2">
        <f t="shared" si="9"/>
        <v>116720.76620447633</v>
      </c>
      <c r="S14" s="2">
        <f t="shared" si="9"/>
        <v>138355.56311634966</v>
      </c>
      <c r="T14" s="2">
        <f t="shared" si="9"/>
        <v>163444.29938468619</v>
      </c>
    </row>
    <row r="15" spans="1:111" x14ac:dyDescent="0.25">
      <c r="A15" s="2" t="s">
        <v>19</v>
      </c>
      <c r="M15" s="2">
        <v>5619</v>
      </c>
      <c r="N15" s="2">
        <v>8330</v>
      </c>
      <c r="O15" s="2">
        <v>8303</v>
      </c>
      <c r="P15" s="2">
        <f>P14*P21</f>
        <v>15586.858619999994</v>
      </c>
      <c r="Q15" s="2">
        <f t="shared" ref="Q15:T15" si="10">Q14*Q21</f>
        <v>18635.31584478599</v>
      </c>
      <c r="R15" s="2">
        <f t="shared" si="10"/>
        <v>22176.945578850504</v>
      </c>
      <c r="S15" s="2">
        <f t="shared" si="10"/>
        <v>26287.556992106434</v>
      </c>
      <c r="T15" s="2">
        <f t="shared" si="10"/>
        <v>31054.416883090376</v>
      </c>
    </row>
    <row r="16" spans="1:111" s="3" customFormat="1" x14ac:dyDescent="0.25">
      <c r="A16" s="3" t="s">
        <v>20</v>
      </c>
      <c r="M16" s="3">
        <f>M14-M15</f>
        <v>23200</v>
      </c>
      <c r="N16" s="3">
        <f t="shared" ref="N16:T16" si="11">N14-N15</f>
        <v>39098</v>
      </c>
      <c r="O16" s="3">
        <f t="shared" si="11"/>
        <v>62360</v>
      </c>
      <c r="P16" s="3">
        <f t="shared" si="11"/>
        <v>66449.23937999997</v>
      </c>
      <c r="Q16" s="3">
        <f t="shared" si="11"/>
        <v>79445.293864613952</v>
      </c>
      <c r="R16" s="3">
        <f t="shared" si="11"/>
        <v>94543.820625625827</v>
      </c>
      <c r="S16" s="3">
        <f t="shared" si="11"/>
        <v>112068.00612424323</v>
      </c>
      <c r="T16" s="3">
        <f t="shared" si="11"/>
        <v>132389.88250159583</v>
      </c>
      <c r="U16" s="3">
        <f>T16*(1+$W$20)</f>
        <v>133713.78132661179</v>
      </c>
      <c r="V16" s="3">
        <f t="shared" ref="V16:CG16" si="12">U16*(1+$W$20)</f>
        <v>135050.91913987789</v>
      </c>
      <c r="W16" s="3">
        <f t="shared" si="12"/>
        <v>136401.42833127666</v>
      </c>
      <c r="X16" s="3">
        <f t="shared" si="12"/>
        <v>137765.44261458944</v>
      </c>
      <c r="Y16" s="3">
        <f t="shared" si="12"/>
        <v>139143.09704073533</v>
      </c>
      <c r="Z16" s="3">
        <f t="shared" si="12"/>
        <v>140534.52801114268</v>
      </c>
      <c r="AA16" s="3">
        <f t="shared" si="12"/>
        <v>141939.8732912541</v>
      </c>
      <c r="AB16" s="3">
        <f t="shared" si="12"/>
        <v>143359.27202416665</v>
      </c>
      <c r="AC16" s="3">
        <f t="shared" si="12"/>
        <v>144792.86474440832</v>
      </c>
      <c r="AD16" s="3">
        <f t="shared" si="12"/>
        <v>146240.79339185241</v>
      </c>
      <c r="AE16" s="3">
        <f t="shared" si="12"/>
        <v>147703.20132577093</v>
      </c>
      <c r="AF16" s="3">
        <f t="shared" si="12"/>
        <v>149180.23333902864</v>
      </c>
      <c r="AG16" s="3">
        <f t="shared" si="12"/>
        <v>150672.03567241892</v>
      </c>
      <c r="AH16" s="3">
        <f t="shared" si="12"/>
        <v>152178.75602914311</v>
      </c>
      <c r="AI16" s="3">
        <f t="shared" si="12"/>
        <v>153700.54358943456</v>
      </c>
      <c r="AJ16" s="3">
        <f t="shared" si="12"/>
        <v>155237.54902532892</v>
      </c>
      <c r="AK16" s="3">
        <f t="shared" si="12"/>
        <v>156789.92451558221</v>
      </c>
      <c r="AL16" s="3">
        <f t="shared" si="12"/>
        <v>158357.82376073804</v>
      </c>
      <c r="AM16" s="3">
        <f t="shared" si="12"/>
        <v>159941.40199834542</v>
      </c>
      <c r="AN16" s="3">
        <f t="shared" si="12"/>
        <v>161540.81601832889</v>
      </c>
      <c r="AO16" s="3">
        <f t="shared" si="12"/>
        <v>163156.22417851217</v>
      </c>
      <c r="AP16" s="3">
        <f t="shared" si="12"/>
        <v>164787.78642029729</v>
      </c>
      <c r="AQ16" s="3">
        <f t="shared" si="12"/>
        <v>166435.66428450026</v>
      </c>
      <c r="AR16" s="3">
        <f t="shared" si="12"/>
        <v>168100.02092734526</v>
      </c>
      <c r="AS16" s="3">
        <f t="shared" si="12"/>
        <v>169781.02113661871</v>
      </c>
      <c r="AT16" s="3">
        <f t="shared" si="12"/>
        <v>171478.8313479849</v>
      </c>
      <c r="AU16" s="3">
        <f t="shared" si="12"/>
        <v>173193.61966146476</v>
      </c>
      <c r="AV16" s="3">
        <f t="shared" si="12"/>
        <v>174925.5558580794</v>
      </c>
      <c r="AW16" s="3">
        <f t="shared" si="12"/>
        <v>176674.8114166602</v>
      </c>
      <c r="AX16" s="3">
        <f t="shared" si="12"/>
        <v>178441.55953082681</v>
      </c>
      <c r="AY16" s="3">
        <f t="shared" si="12"/>
        <v>180225.97512613508</v>
      </c>
      <c r="AZ16" s="3">
        <f t="shared" si="12"/>
        <v>182028.23487739643</v>
      </c>
      <c r="BA16" s="3">
        <f t="shared" si="12"/>
        <v>183848.5172261704</v>
      </c>
      <c r="BB16" s="3">
        <f t="shared" si="12"/>
        <v>185687.00239843212</v>
      </c>
      <c r="BC16" s="3">
        <f t="shared" si="12"/>
        <v>187543.87242241643</v>
      </c>
      <c r="BD16" s="3">
        <f t="shared" si="12"/>
        <v>189419.3111466406</v>
      </c>
      <c r="BE16" s="3">
        <f t="shared" si="12"/>
        <v>191313.50425810702</v>
      </c>
      <c r="BF16" s="3">
        <f t="shared" si="12"/>
        <v>193226.63930068808</v>
      </c>
      <c r="BG16" s="3">
        <f t="shared" si="12"/>
        <v>195158.90569369498</v>
      </c>
      <c r="BH16" s="3">
        <f t="shared" si="12"/>
        <v>197110.49475063194</v>
      </c>
      <c r="BI16" s="3">
        <f t="shared" si="12"/>
        <v>199081.59969813828</v>
      </c>
      <c r="BJ16" s="3">
        <f t="shared" si="12"/>
        <v>201072.41569511965</v>
      </c>
      <c r="BK16" s="3">
        <f t="shared" si="12"/>
        <v>203083.13985207086</v>
      </c>
      <c r="BL16" s="3">
        <f t="shared" si="12"/>
        <v>205113.97125059157</v>
      </c>
      <c r="BM16" s="3">
        <f t="shared" si="12"/>
        <v>207165.11096309748</v>
      </c>
      <c r="BN16" s="3">
        <f t="shared" si="12"/>
        <v>209236.76207272845</v>
      </c>
      <c r="BO16" s="3">
        <f t="shared" si="12"/>
        <v>211329.12969345573</v>
      </c>
      <c r="BP16" s="3">
        <f t="shared" si="12"/>
        <v>213442.4209903903</v>
      </c>
      <c r="BQ16" s="3">
        <f t="shared" si="12"/>
        <v>215576.84520029419</v>
      </c>
      <c r="BR16" s="3">
        <f t="shared" si="12"/>
        <v>217732.61365229715</v>
      </c>
      <c r="BS16" s="3">
        <f t="shared" si="12"/>
        <v>219909.93978882013</v>
      </c>
      <c r="BT16" s="3">
        <f t="shared" si="12"/>
        <v>222109.03918670834</v>
      </c>
      <c r="BU16" s="3">
        <f t="shared" si="12"/>
        <v>224330.12957857543</v>
      </c>
      <c r="BV16" s="3">
        <f t="shared" si="12"/>
        <v>226573.43087436119</v>
      </c>
      <c r="BW16" s="3">
        <f t="shared" si="12"/>
        <v>228839.16518310481</v>
      </c>
      <c r="BX16" s="3">
        <f t="shared" si="12"/>
        <v>231127.55683493585</v>
      </c>
      <c r="BY16" s="3">
        <f t="shared" si="12"/>
        <v>233438.83240328523</v>
      </c>
      <c r="BZ16" s="3">
        <f t="shared" si="12"/>
        <v>235773.22072731808</v>
      </c>
      <c r="CA16" s="3">
        <f t="shared" si="12"/>
        <v>238130.95293459127</v>
      </c>
      <c r="CB16" s="3">
        <f t="shared" si="12"/>
        <v>240512.26246393719</v>
      </c>
      <c r="CC16" s="3">
        <f t="shared" si="12"/>
        <v>242917.38508857656</v>
      </c>
      <c r="CD16" s="3">
        <f t="shared" si="12"/>
        <v>245346.55893946232</v>
      </c>
      <c r="CE16" s="3">
        <f t="shared" si="12"/>
        <v>247800.02452885694</v>
      </c>
      <c r="CF16" s="3">
        <f t="shared" si="12"/>
        <v>250278.02477414551</v>
      </c>
      <c r="CG16" s="3">
        <f t="shared" si="12"/>
        <v>252780.80502188698</v>
      </c>
      <c r="CH16" s="3">
        <f t="shared" ref="CH16:DG16" si="13">CG16*(1+$W$20)</f>
        <v>255308.61307210586</v>
      </c>
      <c r="CI16" s="3">
        <f t="shared" si="13"/>
        <v>257861.69920282692</v>
      </c>
      <c r="CJ16" s="3">
        <f t="shared" si="13"/>
        <v>260440.3161948552</v>
      </c>
      <c r="CK16" s="3">
        <f t="shared" si="13"/>
        <v>263044.71935680375</v>
      </c>
      <c r="CL16" s="3">
        <f t="shared" si="13"/>
        <v>265675.1665503718</v>
      </c>
      <c r="CM16" s="3">
        <f t="shared" si="13"/>
        <v>268331.91821587551</v>
      </c>
      <c r="CN16" s="3">
        <f t="shared" si="13"/>
        <v>271015.23739803425</v>
      </c>
      <c r="CO16" s="3">
        <f t="shared" si="13"/>
        <v>273725.38977201458</v>
      </c>
      <c r="CP16" s="3">
        <f t="shared" si="13"/>
        <v>276462.64366973471</v>
      </c>
      <c r="CQ16" s="3">
        <f t="shared" si="13"/>
        <v>279227.27010643209</v>
      </c>
      <c r="CR16" s="3">
        <f t="shared" si="13"/>
        <v>282019.54280749639</v>
      </c>
      <c r="CS16" s="3">
        <f t="shared" si="13"/>
        <v>284839.73823557136</v>
      </c>
      <c r="CT16" s="3">
        <f t="shared" si="13"/>
        <v>287688.13561792707</v>
      </c>
      <c r="CU16" s="3">
        <f t="shared" si="13"/>
        <v>290565.01697410631</v>
      </c>
      <c r="CV16" s="3">
        <f t="shared" si="13"/>
        <v>293470.66714384739</v>
      </c>
      <c r="CW16" s="3">
        <f t="shared" si="13"/>
        <v>296405.37381528586</v>
      </c>
      <c r="CX16" s="3">
        <f t="shared" si="13"/>
        <v>299369.4275534387</v>
      </c>
      <c r="CY16" s="3">
        <f t="shared" si="13"/>
        <v>302363.12182897306</v>
      </c>
      <c r="CZ16" s="3">
        <f t="shared" si="13"/>
        <v>305386.75304726278</v>
      </c>
      <c r="DA16" s="3">
        <f t="shared" si="13"/>
        <v>308440.62057773542</v>
      </c>
      <c r="DB16" s="3">
        <f t="shared" si="13"/>
        <v>311525.02678351279</v>
      </c>
      <c r="DC16" s="3">
        <f t="shared" si="13"/>
        <v>314640.27705134795</v>
      </c>
      <c r="DD16" s="3">
        <f t="shared" si="13"/>
        <v>317786.67982186144</v>
      </c>
      <c r="DE16" s="3">
        <f t="shared" si="13"/>
        <v>320964.54662008007</v>
      </c>
      <c r="DF16" s="3">
        <f t="shared" si="13"/>
        <v>324174.19208628085</v>
      </c>
      <c r="DG16" s="3">
        <f t="shared" si="13"/>
        <v>327415.93400714366</v>
      </c>
    </row>
    <row r="17" spans="1:115" x14ac:dyDescent="0.25">
      <c r="A17" s="2" t="s">
        <v>2</v>
      </c>
    </row>
    <row r="18" spans="1:115" x14ac:dyDescent="0.25">
      <c r="A18" s="2" t="s">
        <v>21</v>
      </c>
    </row>
    <row r="19" spans="1:115" x14ac:dyDescent="0.25">
      <c r="V19" s="2" t="s">
        <v>40</v>
      </c>
      <c r="W19" s="8">
        <v>0.06</v>
      </c>
    </row>
    <row r="20" spans="1:115" s="3" customFormat="1" x14ac:dyDescent="0.25">
      <c r="A20" s="3" t="s">
        <v>22</v>
      </c>
      <c r="N20" s="5">
        <f>N5/M5-1</f>
        <v>0.15687468377226454</v>
      </c>
      <c r="O20" s="5">
        <f>O5/N5-1</f>
        <v>0.21941112807816054</v>
      </c>
      <c r="P20" s="5">
        <f t="shared" ref="P20:T20" si="14">P5/O5-1</f>
        <v>0.1399999999999999</v>
      </c>
      <c r="Q20" s="5">
        <f t="shared" si="14"/>
        <v>0.1399999999999999</v>
      </c>
      <c r="R20" s="5">
        <f t="shared" si="14"/>
        <v>0.1399999999999999</v>
      </c>
      <c r="S20" s="5">
        <f t="shared" si="14"/>
        <v>0.1399999999999999</v>
      </c>
      <c r="T20" s="5">
        <f t="shared" si="14"/>
        <v>0.1399999999999999</v>
      </c>
      <c r="V20" s="7" t="s">
        <v>41</v>
      </c>
      <c r="W20" s="8">
        <v>0.01</v>
      </c>
    </row>
    <row r="21" spans="1:115" x14ac:dyDescent="0.25">
      <c r="A21" s="2" t="s">
        <v>30</v>
      </c>
      <c r="M21" s="6">
        <f>M15/M14</f>
        <v>0.19497553697213643</v>
      </c>
      <c r="N21" s="6">
        <f t="shared" ref="N21:O21" si="15">N15/N14</f>
        <v>0.17563464620055663</v>
      </c>
      <c r="O21" s="6">
        <f t="shared" si="15"/>
        <v>0.11750137978857393</v>
      </c>
      <c r="P21" s="6">
        <v>0.19</v>
      </c>
      <c r="Q21" s="6">
        <v>0.19</v>
      </c>
      <c r="R21" s="6">
        <v>0.19</v>
      </c>
      <c r="S21" s="6">
        <v>0.19</v>
      </c>
      <c r="T21" s="6">
        <v>0.19</v>
      </c>
      <c r="V21" s="2" t="s">
        <v>42</v>
      </c>
      <c r="W21" s="8">
        <v>0.08</v>
      </c>
    </row>
    <row r="22" spans="1:115" x14ac:dyDescent="0.25">
      <c r="V22" s="2" t="s">
        <v>43</v>
      </c>
      <c r="W22" s="2">
        <f>NPV(W21,P29:DG29)+Sheet1!D5-Sheet1!D6</f>
        <v>1708888.6210474281</v>
      </c>
    </row>
    <row r="23" spans="1:115" s="3" customFormat="1" x14ac:dyDescent="0.25">
      <c r="A23" s="3" t="s">
        <v>23</v>
      </c>
      <c r="M23" s="5">
        <f>M7/M5</f>
        <v>0.78347297378418479</v>
      </c>
      <c r="N23" s="5">
        <f t="shared" ref="N23:O23" si="16">N7/N5</f>
        <v>0.8075714222176098</v>
      </c>
      <c r="O23" s="5">
        <f t="shared" si="16"/>
        <v>0.81665157050717019</v>
      </c>
      <c r="P23" s="5">
        <f>O23*1.005</f>
        <v>0.8207348283597059</v>
      </c>
      <c r="Q23" s="5">
        <f>P23*1.005</f>
        <v>0.82483850250150437</v>
      </c>
      <c r="R23" s="5">
        <f t="shared" ref="R23:T23" si="17">Q23*1.005</f>
        <v>0.82896269501401176</v>
      </c>
      <c r="S23" s="5">
        <f t="shared" si="17"/>
        <v>0.83310750848908177</v>
      </c>
      <c r="T23" s="5">
        <f t="shared" si="17"/>
        <v>0.83727304603152708</v>
      </c>
      <c r="V23" s="7" t="s">
        <v>1</v>
      </c>
      <c r="W23" s="3">
        <f>W22/Sheet1!D3</f>
        <v>674.46367803900534</v>
      </c>
    </row>
    <row r="24" spans="1:115" x14ac:dyDescent="0.25">
      <c r="A24" s="2" t="s">
        <v>24</v>
      </c>
      <c r="M24" s="6">
        <f>M12/M5</f>
        <v>0.24821411726367604</v>
      </c>
      <c r="N24" s="6">
        <f t="shared" ref="N24:T24" si="18">N12/N5</f>
        <v>0.34655527716416362</v>
      </c>
      <c r="O24" s="6">
        <f t="shared" si="18"/>
        <v>0.42176035404040096</v>
      </c>
      <c r="P24" s="6">
        <f t="shared" si="18"/>
        <v>0.42584361189293668</v>
      </c>
      <c r="Q24" s="6">
        <f t="shared" si="18"/>
        <v>0.4299472860347352</v>
      </c>
      <c r="R24" s="6">
        <f t="shared" si="18"/>
        <v>0.43407147854724248</v>
      </c>
      <c r="S24" s="6">
        <f t="shared" si="18"/>
        <v>0.4382162920223126</v>
      </c>
      <c r="T24" s="6">
        <f t="shared" si="18"/>
        <v>0.44238182956475774</v>
      </c>
      <c r="V24" s="2" t="s">
        <v>44</v>
      </c>
      <c r="W24" s="6">
        <f>W23/Sheet1!D2-1</f>
        <v>0.22629759643455527</v>
      </c>
    </row>
    <row r="25" spans="1:115" x14ac:dyDescent="0.25">
      <c r="A25" s="2" t="s">
        <v>25</v>
      </c>
      <c r="M25" s="6">
        <f>M29/M5</f>
        <v>0.16541604850397482</v>
      </c>
      <c r="N25" s="6">
        <f t="shared" ref="N25:T25" si="19">N29/N5</f>
        <v>0.32666676550384721</v>
      </c>
      <c r="O25" s="6">
        <f t="shared" si="19"/>
        <v>0.32870316897769619</v>
      </c>
      <c r="P25" s="6">
        <f t="shared" si="19"/>
        <v>0.32274363094577235</v>
      </c>
      <c r="Q25" s="6">
        <f t="shared" si="19"/>
        <v>0.34952000032724223</v>
      </c>
      <c r="R25" s="6">
        <f t="shared" si="19"/>
        <v>0.37480804512176658</v>
      </c>
      <c r="S25" s="6">
        <f t="shared" si="19"/>
        <v>0.39873038481873929</v>
      </c>
      <c r="T25" s="6">
        <f t="shared" si="19"/>
        <v>0.42139982429827483</v>
      </c>
    </row>
    <row r="26" spans="1:115" x14ac:dyDescent="0.25">
      <c r="M26" s="6"/>
      <c r="N26" s="6"/>
      <c r="O26" s="6"/>
      <c r="P26" s="6">
        <v>1.55</v>
      </c>
      <c r="Q26" s="6">
        <v>1.55</v>
      </c>
      <c r="R26" s="6">
        <v>1.55</v>
      </c>
      <c r="S26" s="6">
        <v>1.55</v>
      </c>
      <c r="T26" s="6">
        <v>1.55</v>
      </c>
    </row>
    <row r="27" spans="1:115" x14ac:dyDescent="0.25">
      <c r="A27" s="2" t="s">
        <v>26</v>
      </c>
      <c r="M27" s="2">
        <v>50475</v>
      </c>
      <c r="N27" s="2">
        <v>71113</v>
      </c>
      <c r="O27" s="2">
        <v>91328</v>
      </c>
      <c r="P27" s="2">
        <f>P26*P16</f>
        <v>102996.32103899996</v>
      </c>
      <c r="Q27" s="2">
        <f t="shared" ref="Q27:T27" si="20">Q26*Q16</f>
        <v>123140.20549015162</v>
      </c>
      <c r="R27" s="2">
        <f t="shared" si="20"/>
        <v>146542.92196972005</v>
      </c>
      <c r="S27" s="2">
        <f t="shared" si="20"/>
        <v>173705.40949257702</v>
      </c>
      <c r="T27" s="2">
        <f t="shared" si="20"/>
        <v>205204.31787747354</v>
      </c>
    </row>
    <row r="28" spans="1:115" x14ac:dyDescent="0.25">
      <c r="A28" s="2" t="s">
        <v>27</v>
      </c>
      <c r="M28" s="2">
        <v>31186</v>
      </c>
      <c r="N28" s="2">
        <v>27045</v>
      </c>
      <c r="O28" s="2">
        <v>37256</v>
      </c>
      <c r="P28" s="2">
        <f>O28*(1+P20)</f>
        <v>42471.839999999997</v>
      </c>
      <c r="Q28" s="2">
        <f t="shared" ref="Q28:T28" si="21">P28*(1+Q20)</f>
        <v>48417.897599999989</v>
      </c>
      <c r="R28" s="2">
        <f t="shared" si="21"/>
        <v>55196.403263999986</v>
      </c>
      <c r="S28" s="2">
        <f t="shared" si="21"/>
        <v>62923.899720959977</v>
      </c>
      <c r="T28" s="2">
        <f t="shared" si="21"/>
        <v>71733.245681894361</v>
      </c>
    </row>
    <row r="29" spans="1:115" s="3" customFormat="1" x14ac:dyDescent="0.25">
      <c r="A29" s="3" t="s">
        <v>28</v>
      </c>
      <c r="M29" s="3">
        <f>M27-M28</f>
        <v>19289</v>
      </c>
      <c r="N29" s="3">
        <f t="shared" ref="N29:T29" si="22">N27-N28</f>
        <v>44068</v>
      </c>
      <c r="O29" s="3">
        <f t="shared" si="22"/>
        <v>54072</v>
      </c>
      <c r="P29" s="3">
        <f t="shared" si="22"/>
        <v>60524.481038999962</v>
      </c>
      <c r="Q29" s="3">
        <f t="shared" si="22"/>
        <v>74722.307890151627</v>
      </c>
      <c r="R29" s="3">
        <f t="shared" si="22"/>
        <v>91346.518705720053</v>
      </c>
      <c r="S29" s="3">
        <f t="shared" si="22"/>
        <v>110781.50977161704</v>
      </c>
      <c r="T29" s="3">
        <f t="shared" si="22"/>
        <v>133471.07219557918</v>
      </c>
      <c r="U29" s="3">
        <f>T29*(1+$W$20)</f>
        <v>134805.78291753496</v>
      </c>
      <c r="V29" s="3">
        <f t="shared" ref="V29:CG29" si="23">U29*(1+$W$20)</f>
        <v>136153.84074671031</v>
      </c>
      <c r="W29" s="3">
        <f t="shared" si="23"/>
        <v>137515.37915417741</v>
      </c>
      <c r="X29" s="3">
        <f t="shared" si="23"/>
        <v>138890.5329457192</v>
      </c>
      <c r="Y29" s="3">
        <f t="shared" si="23"/>
        <v>140279.43827517639</v>
      </c>
      <c r="Z29" s="3">
        <f t="shared" si="23"/>
        <v>141682.23265792817</v>
      </c>
      <c r="AA29" s="3">
        <f t="shared" si="23"/>
        <v>143099.05498450744</v>
      </c>
      <c r="AB29" s="3">
        <f t="shared" si="23"/>
        <v>144530.04553435251</v>
      </c>
      <c r="AC29" s="3">
        <f t="shared" si="23"/>
        <v>145975.34598969604</v>
      </c>
      <c r="AD29" s="3">
        <f t="shared" si="23"/>
        <v>147435.09944959299</v>
      </c>
      <c r="AE29" s="3">
        <f t="shared" si="23"/>
        <v>148909.45044408893</v>
      </c>
      <c r="AF29" s="3">
        <f t="shared" si="23"/>
        <v>150398.54494852983</v>
      </c>
      <c r="AG29" s="3">
        <f t="shared" si="23"/>
        <v>151902.53039801514</v>
      </c>
      <c r="AH29" s="3">
        <f t="shared" si="23"/>
        <v>153421.5557019953</v>
      </c>
      <c r="AI29" s="3">
        <f t="shared" si="23"/>
        <v>154955.77125901525</v>
      </c>
      <c r="AJ29" s="3">
        <f t="shared" si="23"/>
        <v>156505.3289716054</v>
      </c>
      <c r="AK29" s="3">
        <f t="shared" si="23"/>
        <v>158070.38226132144</v>
      </c>
      <c r="AL29" s="3">
        <f t="shared" si="23"/>
        <v>159651.08608393467</v>
      </c>
      <c r="AM29" s="3">
        <f t="shared" si="23"/>
        <v>161247.59694477401</v>
      </c>
      <c r="AN29" s="3">
        <f t="shared" si="23"/>
        <v>162860.07291422176</v>
      </c>
      <c r="AO29" s="3">
        <f t="shared" si="23"/>
        <v>164488.67364336399</v>
      </c>
      <c r="AP29" s="3">
        <f t="shared" si="23"/>
        <v>166133.56037979762</v>
      </c>
      <c r="AQ29" s="3">
        <f t="shared" si="23"/>
        <v>167794.8959835956</v>
      </c>
      <c r="AR29" s="3">
        <f t="shared" si="23"/>
        <v>169472.84494343156</v>
      </c>
      <c r="AS29" s="3">
        <f t="shared" si="23"/>
        <v>171167.57339286586</v>
      </c>
      <c r="AT29" s="3">
        <f t="shared" si="23"/>
        <v>172879.24912679452</v>
      </c>
      <c r="AU29" s="3">
        <f t="shared" si="23"/>
        <v>174608.04161806247</v>
      </c>
      <c r="AV29" s="3">
        <f t="shared" si="23"/>
        <v>176354.1220342431</v>
      </c>
      <c r="AW29" s="3">
        <f t="shared" si="23"/>
        <v>178117.66325458552</v>
      </c>
      <c r="AX29" s="3">
        <f t="shared" si="23"/>
        <v>179898.83988713138</v>
      </c>
      <c r="AY29" s="3">
        <f t="shared" si="23"/>
        <v>181697.82828600271</v>
      </c>
      <c r="AZ29" s="3">
        <f t="shared" si="23"/>
        <v>183514.80656886272</v>
      </c>
      <c r="BA29" s="3">
        <f t="shared" si="23"/>
        <v>185349.95463455137</v>
      </c>
      <c r="BB29" s="3">
        <f t="shared" si="23"/>
        <v>187203.45418089689</v>
      </c>
      <c r="BC29" s="3">
        <f t="shared" si="23"/>
        <v>189075.48872270586</v>
      </c>
      <c r="BD29" s="3">
        <f t="shared" si="23"/>
        <v>190966.24360993292</v>
      </c>
      <c r="BE29" s="3">
        <f t="shared" si="23"/>
        <v>192875.90604603227</v>
      </c>
      <c r="BF29" s="3">
        <f t="shared" si="23"/>
        <v>194804.66510649258</v>
      </c>
      <c r="BG29" s="3">
        <f t="shared" si="23"/>
        <v>196752.7117575575</v>
      </c>
      <c r="BH29" s="3">
        <f t="shared" si="23"/>
        <v>198720.23887513307</v>
      </c>
      <c r="BI29" s="3">
        <f t="shared" si="23"/>
        <v>200707.44126388439</v>
      </c>
      <c r="BJ29" s="3">
        <f t="shared" si="23"/>
        <v>202714.51567652324</v>
      </c>
      <c r="BK29" s="3">
        <f t="shared" si="23"/>
        <v>204741.66083328848</v>
      </c>
      <c r="BL29" s="3">
        <f t="shared" si="23"/>
        <v>206789.07744162137</v>
      </c>
      <c r="BM29" s="3">
        <f t="shared" si="23"/>
        <v>208856.96821603758</v>
      </c>
      <c r="BN29" s="3">
        <f t="shared" si="23"/>
        <v>210945.53789819794</v>
      </c>
      <c r="BO29" s="3">
        <f t="shared" si="23"/>
        <v>213054.99327717992</v>
      </c>
      <c r="BP29" s="3">
        <f t="shared" si="23"/>
        <v>215185.54320995172</v>
      </c>
      <c r="BQ29" s="3">
        <f t="shared" si="23"/>
        <v>217337.39864205124</v>
      </c>
      <c r="BR29" s="3">
        <f t="shared" si="23"/>
        <v>219510.77262847175</v>
      </c>
      <c r="BS29" s="3">
        <f t="shared" si="23"/>
        <v>221705.88035475646</v>
      </c>
      <c r="BT29" s="3">
        <f t="shared" si="23"/>
        <v>223922.93915830401</v>
      </c>
      <c r="BU29" s="3">
        <f t="shared" si="23"/>
        <v>226162.16854988705</v>
      </c>
      <c r="BV29" s="3">
        <f t="shared" si="23"/>
        <v>228423.79023538591</v>
      </c>
      <c r="BW29" s="3">
        <f t="shared" si="23"/>
        <v>230708.02813773978</v>
      </c>
      <c r="BX29" s="3">
        <f t="shared" si="23"/>
        <v>233015.10841911717</v>
      </c>
      <c r="BY29" s="3">
        <f t="shared" si="23"/>
        <v>235345.25950330833</v>
      </c>
      <c r="BZ29" s="3">
        <f t="shared" si="23"/>
        <v>237698.71209834141</v>
      </c>
      <c r="CA29" s="3">
        <f t="shared" si="23"/>
        <v>240075.69921932483</v>
      </c>
      <c r="CB29" s="3">
        <f t="shared" si="23"/>
        <v>242476.45621151809</v>
      </c>
      <c r="CC29" s="3">
        <f t="shared" si="23"/>
        <v>244901.22077363328</v>
      </c>
      <c r="CD29" s="3">
        <f t="shared" si="23"/>
        <v>247350.23298136963</v>
      </c>
      <c r="CE29" s="3">
        <f t="shared" si="23"/>
        <v>249823.73531118332</v>
      </c>
      <c r="CF29" s="3">
        <f t="shared" si="23"/>
        <v>252321.97266429514</v>
      </c>
      <c r="CG29" s="3">
        <f t="shared" si="23"/>
        <v>254845.19239093809</v>
      </c>
      <c r="CH29" s="3">
        <f t="shared" ref="CH29:DK29" si="24">CG29*(1+$W$20)</f>
        <v>257393.64431484748</v>
      </c>
      <c r="CI29" s="3">
        <f t="shared" si="24"/>
        <v>259967.58075799595</v>
      </c>
      <c r="CJ29" s="3">
        <f t="shared" si="24"/>
        <v>262567.2565655759</v>
      </c>
      <c r="CK29" s="3">
        <f t="shared" si="24"/>
        <v>265192.92913123168</v>
      </c>
      <c r="CL29" s="3">
        <f t="shared" si="24"/>
        <v>267844.85842254397</v>
      </c>
      <c r="CM29" s="3">
        <f t="shared" si="24"/>
        <v>270523.30700676941</v>
      </c>
      <c r="CN29" s="3">
        <f t="shared" si="24"/>
        <v>273228.54007683712</v>
      </c>
      <c r="CO29" s="3">
        <f t="shared" si="24"/>
        <v>275960.82547760551</v>
      </c>
      <c r="CP29" s="3">
        <f t="shared" si="24"/>
        <v>278720.43373238156</v>
      </c>
      <c r="CQ29" s="3">
        <f t="shared" si="24"/>
        <v>281507.6380697054</v>
      </c>
      <c r="CR29" s="3">
        <f t="shared" si="24"/>
        <v>284322.71445040248</v>
      </c>
      <c r="CS29" s="3">
        <f t="shared" si="24"/>
        <v>287165.9415949065</v>
      </c>
      <c r="CT29" s="3">
        <f t="shared" si="24"/>
        <v>290037.60101085558</v>
      </c>
      <c r="CU29" s="3">
        <f t="shared" si="24"/>
        <v>292937.97702096414</v>
      </c>
      <c r="CV29" s="3">
        <f t="shared" si="24"/>
        <v>295867.35679117381</v>
      </c>
      <c r="CW29" s="3">
        <f t="shared" si="24"/>
        <v>298826.03035908553</v>
      </c>
      <c r="CX29" s="3">
        <f t="shared" si="24"/>
        <v>301814.29066267639</v>
      </c>
      <c r="CY29" s="3">
        <f t="shared" si="24"/>
        <v>304832.43356930313</v>
      </c>
      <c r="CZ29" s="3">
        <f t="shared" si="24"/>
        <v>307880.75790499616</v>
      </c>
      <c r="DA29" s="3">
        <f t="shared" si="24"/>
        <v>310959.56548404612</v>
      </c>
      <c r="DB29" s="3">
        <f t="shared" si="24"/>
        <v>314069.16113888659</v>
      </c>
      <c r="DC29" s="3">
        <f t="shared" si="24"/>
        <v>317209.85275027546</v>
      </c>
      <c r="DD29" s="3">
        <f t="shared" si="24"/>
        <v>320381.95127777819</v>
      </c>
      <c r="DE29" s="3">
        <f t="shared" si="24"/>
        <v>323585.77079055598</v>
      </c>
      <c r="DF29" s="3">
        <f t="shared" si="24"/>
        <v>326821.62849846156</v>
      </c>
      <c r="DG29" s="3">
        <f t="shared" si="24"/>
        <v>330089.84478344617</v>
      </c>
      <c r="DH29" s="3">
        <f t="shared" si="24"/>
        <v>333390.74323128065</v>
      </c>
      <c r="DI29" s="3">
        <f t="shared" si="24"/>
        <v>336724.65066359343</v>
      </c>
      <c r="DJ29" s="3">
        <f t="shared" si="24"/>
        <v>340091.89717022935</v>
      </c>
      <c r="DK29" s="3">
        <f t="shared" si="24"/>
        <v>343492.81614193163</v>
      </c>
    </row>
    <row r="30" spans="1:115" x14ac:dyDescent="0.25">
      <c r="M30" s="6"/>
      <c r="N30" s="6"/>
      <c r="O30" s="6"/>
      <c r="P30" s="6"/>
      <c r="Q30" s="6"/>
      <c r="R30" s="6"/>
      <c r="S30" s="6"/>
      <c r="T30" s="6"/>
    </row>
    <row r="31" spans="1:115" x14ac:dyDescent="0.25">
      <c r="A31" s="2" t="s">
        <v>29</v>
      </c>
      <c r="O31" s="2">
        <f>O33-O35</f>
        <v>36286</v>
      </c>
      <c r="P31" s="2">
        <f>O31+P16</f>
        <v>102735.23937999997</v>
      </c>
      <c r="Q31" s="2">
        <f t="shared" ref="Q31:T31" si="25">P31+Q16</f>
        <v>182180.53324461391</v>
      </c>
      <c r="R31" s="2">
        <f t="shared" si="25"/>
        <v>276724.35387023975</v>
      </c>
      <c r="S31" s="2">
        <f t="shared" si="25"/>
        <v>388792.35999448295</v>
      </c>
      <c r="T31" s="2">
        <f t="shared" si="25"/>
        <v>521182.24249607878</v>
      </c>
    </row>
    <row r="33" spans="1:15" x14ac:dyDescent="0.25">
      <c r="A33" s="2" t="s">
        <v>4</v>
      </c>
      <c r="O33" s="2">
        <f>43889+33926</f>
        <v>77815</v>
      </c>
    </row>
    <row r="35" spans="1:15" x14ac:dyDescent="0.25">
      <c r="A35" s="2" t="s">
        <v>5</v>
      </c>
      <c r="O35" s="2">
        <f>28826+9987+2716</f>
        <v>41529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2025-04-28T19:23:20Z</dcterms:created>
  <dcterms:modified xsi:type="dcterms:W3CDTF">2025-04-28T19:55:06Z</dcterms:modified>
</cp:coreProperties>
</file>