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767C6423-FAE8-4994-A4E9-78F1675B1923}" xr6:coauthVersionLast="47" xr6:coauthVersionMax="47" xr10:uidLastSave="{00000000-0000-0000-0000-000000000000}"/>
  <bookViews>
    <workbookView xWindow="-105" yWindow="0" windowWidth="14610" windowHeight="15585" activeTab="1" xr2:uid="{8238CC19-5C58-4680-92E0-526DD4D782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Q30" i="2"/>
  <c r="R30" i="2"/>
  <c r="S30" i="2" s="1"/>
  <c r="T30" i="2" s="1"/>
  <c r="P30" i="2"/>
  <c r="M30" i="2"/>
  <c r="N30" i="2"/>
  <c r="O30" i="2"/>
  <c r="Q32" i="2"/>
  <c r="R32" i="2"/>
  <c r="S32" i="2"/>
  <c r="T32" i="2"/>
  <c r="P32" i="2"/>
  <c r="N34" i="2"/>
  <c r="O34" i="2"/>
  <c r="M34" i="2"/>
  <c r="P33" i="2"/>
  <c r="P34" i="2" s="1"/>
  <c r="N33" i="2"/>
  <c r="O33" i="2"/>
  <c r="M33" i="2"/>
  <c r="Q11" i="2"/>
  <c r="R11" i="2"/>
  <c r="S11" i="2"/>
  <c r="T11" i="2"/>
  <c r="N28" i="2"/>
  <c r="O28" i="2"/>
  <c r="P28" i="2"/>
  <c r="M28" i="2"/>
  <c r="T20" i="2"/>
  <c r="S20" i="2"/>
  <c r="R20" i="2"/>
  <c r="Q20" i="2"/>
  <c r="P20" i="2"/>
  <c r="N20" i="2"/>
  <c r="O20" i="2"/>
  <c r="P11" i="2"/>
  <c r="Q2" i="2"/>
  <c r="R2" i="2"/>
  <c r="R4" i="2" s="1"/>
  <c r="S2" i="2"/>
  <c r="T2" i="2"/>
  <c r="P2" i="2"/>
  <c r="P21" i="2" s="1"/>
  <c r="Q21" i="2"/>
  <c r="R21" i="2"/>
  <c r="S21" i="2"/>
  <c r="T21" i="2"/>
  <c r="P22" i="2"/>
  <c r="Q22" i="2"/>
  <c r="R22" i="2"/>
  <c r="S22" i="2"/>
  <c r="T22" i="2"/>
  <c r="Q3" i="2"/>
  <c r="R3" i="2"/>
  <c r="S3" i="2" s="1"/>
  <c r="P3" i="2"/>
  <c r="N22" i="2"/>
  <c r="O22" i="2"/>
  <c r="N21" i="2"/>
  <c r="O21" i="2"/>
  <c r="P13" i="2"/>
  <c r="G39" i="2"/>
  <c r="G37" i="2"/>
  <c r="G35" i="2" s="1"/>
  <c r="H35" i="2" s="1"/>
  <c r="I35" i="2" s="1"/>
  <c r="P35" i="2" s="1"/>
  <c r="Q13" i="2" s="1"/>
  <c r="N12" i="2"/>
  <c r="N14" i="2" s="1"/>
  <c r="O12" i="2"/>
  <c r="O14" i="2" s="1"/>
  <c r="N11" i="2"/>
  <c r="O11" i="2"/>
  <c r="M11" i="2"/>
  <c r="N27" i="2"/>
  <c r="O27" i="2"/>
  <c r="P27" i="2" s="1"/>
  <c r="M27" i="2"/>
  <c r="N26" i="2"/>
  <c r="O26" i="2"/>
  <c r="P26" i="2" s="1"/>
  <c r="M26" i="2"/>
  <c r="N25" i="2"/>
  <c r="N4" i="2"/>
  <c r="N7" i="2" s="1"/>
  <c r="O4" i="2"/>
  <c r="O7" i="2" s="1"/>
  <c r="O25" i="2" s="1"/>
  <c r="P4" i="2"/>
  <c r="Q4" i="2"/>
  <c r="M4" i="2"/>
  <c r="M7" i="2" s="1"/>
  <c r="M12" i="2" s="1"/>
  <c r="M14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4" i="1"/>
  <c r="T3" i="2" l="1"/>
  <c r="T4" i="2" s="1"/>
  <c r="S4" i="2"/>
  <c r="M16" i="2"/>
  <c r="M18" i="2" s="1"/>
  <c r="M23" i="2"/>
  <c r="N16" i="2"/>
  <c r="N18" i="2" s="1"/>
  <c r="N23" i="2"/>
  <c r="O16" i="2"/>
  <c r="O18" i="2" s="1"/>
  <c r="O23" i="2"/>
  <c r="P5" i="2"/>
  <c r="Q26" i="2"/>
  <c r="P6" i="2"/>
  <c r="Q27" i="2"/>
  <c r="M25" i="2"/>
  <c r="P7" i="2" l="1"/>
  <c r="P25" i="2"/>
  <c r="P12" i="2"/>
  <c r="P14" i="2" s="1"/>
  <c r="R27" i="2"/>
  <c r="Q6" i="2"/>
  <c r="R26" i="2"/>
  <c r="Q5" i="2"/>
  <c r="Q7" i="2" s="1"/>
  <c r="S26" i="2" l="1"/>
  <c r="R5" i="2"/>
  <c r="Q25" i="2"/>
  <c r="Q12" i="2"/>
  <c r="S27" i="2"/>
  <c r="R6" i="2"/>
  <c r="P15" i="2"/>
  <c r="P16" i="2" s="1"/>
  <c r="Q14" i="2" l="1"/>
  <c r="Q15" i="2" s="1"/>
  <c r="Q16" i="2" s="1"/>
  <c r="Q31" i="2" s="1"/>
  <c r="Q33" i="2" s="1"/>
  <c r="Q34" i="2" s="1"/>
  <c r="Q28" i="2"/>
  <c r="Q18" i="2"/>
  <c r="Q35" i="2"/>
  <c r="P18" i="2"/>
  <c r="R7" i="2"/>
  <c r="T27" i="2"/>
  <c r="T6" i="2" s="1"/>
  <c r="S6" i="2"/>
  <c r="T26" i="2"/>
  <c r="T5" i="2" s="1"/>
  <c r="T7" i="2" s="1"/>
  <c r="S5" i="2"/>
  <c r="S7" i="2" s="1"/>
  <c r="R13" i="2" l="1"/>
  <c r="S25" i="2"/>
  <c r="S12" i="2"/>
  <c r="S28" i="2" s="1"/>
  <c r="R25" i="2"/>
  <c r="R12" i="2"/>
  <c r="T25" i="2"/>
  <c r="T12" i="2"/>
  <c r="T28" i="2" s="1"/>
  <c r="R14" i="2" l="1"/>
  <c r="R28" i="2"/>
  <c r="R15" i="2"/>
  <c r="R16" i="2"/>
  <c r="R35" i="2" l="1"/>
  <c r="S13" i="2" s="1"/>
  <c r="S14" i="2" s="1"/>
  <c r="S15" i="2" s="1"/>
  <c r="S16" i="2" s="1"/>
  <c r="R31" i="2"/>
  <c r="R33" i="2" s="1"/>
  <c r="S35" i="2"/>
  <c r="T13" i="2"/>
  <c r="T14" i="2" s="1"/>
  <c r="T15" i="2" s="1"/>
  <c r="T16" i="2" s="1"/>
  <c r="T31" i="2" s="1"/>
  <c r="T33" i="2" s="1"/>
  <c r="R18" i="2"/>
  <c r="T34" i="2" l="1"/>
  <c r="U33" i="2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R34" i="2"/>
  <c r="S18" i="2"/>
  <c r="S31" i="2"/>
  <c r="S33" i="2" s="1"/>
  <c r="S34" i="2" s="1"/>
  <c r="T18" i="2"/>
  <c r="U16" i="2"/>
  <c r="T35" i="2"/>
  <c r="W22" i="2" l="1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W23" i="2" l="1"/>
  <c r="W24" i="2" s="1"/>
</calcChain>
</file>

<file path=xl/sharedStrings.xml><?xml version="1.0" encoding="utf-8"?>
<sst xmlns="http://schemas.openxmlformats.org/spreadsheetml/2006/main" count="56" uniqueCount="49">
  <si>
    <t>MSFT</t>
  </si>
  <si>
    <t>Price</t>
  </si>
  <si>
    <t>Shares</t>
  </si>
  <si>
    <t>MC</t>
  </si>
  <si>
    <t>Cash</t>
  </si>
  <si>
    <t>Debt</t>
  </si>
  <si>
    <t>EV</t>
  </si>
  <si>
    <t>Q225</t>
  </si>
  <si>
    <t>Product</t>
  </si>
  <si>
    <t>Service</t>
  </si>
  <si>
    <t>Revenue</t>
  </si>
  <si>
    <t>Gross Profit</t>
  </si>
  <si>
    <t>Product COGS</t>
  </si>
  <si>
    <t>Service COGS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</si>
  <si>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</si>
  <si>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</si>
  <si>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</si>
  <si>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</si>
  <si>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</si>
  <si>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</si>
  <si>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</si>
  <si>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</si>
  <si>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Interest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</si>
  <si>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</si>
  <si>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</si>
  <si>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</si>
  <si>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</si>
  <si>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</si>
  <si>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</si>
  <si>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</si>
  <si>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</si>
  <si>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</si>
  <si>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</si>
  <si>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</si>
  <si>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</si>
  <si>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</si>
  <si>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</si>
  <si>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</si>
  <si>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Q325</t>
  </si>
  <si>
    <t>Q425</t>
  </si>
  <si>
    <t>Product GM</t>
  </si>
  <si>
    <t>Service GM</t>
  </si>
  <si>
    <t>ROIC</t>
  </si>
  <si>
    <t>Maturity</t>
  </si>
  <si>
    <t>Discount</t>
  </si>
  <si>
    <t>NPV</t>
  </si>
  <si>
    <t>Diff</t>
  </si>
  <si>
    <t>Product Growth</t>
  </si>
  <si>
    <t>Service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</si>
</sst>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9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28575</xdr:rowOff>
    </xdr:from>
    <xdr:to>
      <xdr:col>7</xdr:col>
      <xdr:colOff>9525</xdr:colOff>
      <xdr:row>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EB0B72-FAA9-1790-D553-E73B2C1D5E3A}"/>
            </a:ext>
          </a:extLst>
        </xdr:cNvPr>
        <xdr:cNvCxnSpPr/>
      </xdr:nvCxnSpPr>
      <xdr:spPr>
        <a:xfrm>
          <a:off x="4800600" y="28575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9525</xdr:colOff>
      <xdr:row>39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80F9C07-3C4C-4592-A37D-78BA95D2433D}"/>
            </a:ext>
          </a:extLst>
        </xdr:cNvPr>
        <xdr:cNvCxnSpPr/>
      </xdr:nvCxnSpPr>
      <xdr:spPr>
        <a:xfrm>
          <a:off x="9677400" y="0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6702-02DD-4E96-B0C3-B680F054E789}">
  <dimension ref="A1:E7"/>
  <sheetViews>
    <sheetView zoomScale="220" zoomScaleNormal="220" workbookViewId="0">
      <selection activeCell="D6" sqref="D6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3">
        <v>392</v>
      </c>
    </row>
    <row r="3" spans="1:5" x14ac:dyDescent="0.25">
      <c r="C3" t="s">
        <v>2</v>
      </c>
      <c r="D3" s="3">
        <v>7433.982</v>
      </c>
      <c r="E3" t="s">
        <v>7</v>
      </c>
    </row>
    <row r="4" spans="1:5" x14ac:dyDescent="0.25">
      <c r="C4" t="s">
        <v>3</v>
      </c>
      <c r="D4" s="3">
        <f>D3*D2</f>
        <v>2914120.9440000001</v>
      </c>
    </row>
    <row r="5" spans="1:5" x14ac:dyDescent="0.25">
      <c r="C5" t="s">
        <v>4</v>
      </c>
      <c r="D5" s="3">
        <f>17482+54073</f>
        <v>71555</v>
      </c>
      <c r="E5" s="2" t="s">
        <v>7</v>
      </c>
    </row>
    <row r="6" spans="1:5" x14ac:dyDescent="0.25">
      <c r="C6" t="s">
        <v>5</v>
      </c>
      <c r="D6" s="3">
        <f>39722+24389+2537+2513+17254+35906</f>
        <v>122321</v>
      </c>
      <c r="E6" s="2" t="s">
        <v>7</v>
      </c>
    </row>
    <row r="7" spans="1:5" x14ac:dyDescent="0.25">
      <c r="C7" t="s">
        <v>6</v>
      </c>
      <c r="D7" s="3">
        <f>D4+D6-D5</f>
        <v>2964886.9440000001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64C4-4E59-4C6E-9629-E824C7D3CAE2}">
  <dimension ref="A1:DS39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V19" sqref="V19"/>
    </sheetView>
  </sheetViews>
  <sheetFormatPr defaultRowHeight="15" x14ac:dyDescent="0.25"/>
  <cols>
    <col min="1" max="1" width="16.85546875" style="3" customWidth="1"/>
    <col min="2" max="2" width="9.42578125" style="3" customWidth="1"/>
    <col min="3" max="16384" width="9.140625" style="3"/>
  </cols>
  <sheetData>
    <row r="1" spans="1:117" x14ac:dyDescent="0.25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7</v>
      </c>
      <c r="H1" s="3" t="s">
        <v>38</v>
      </c>
      <c r="I1" s="3" t="s">
        <v>39</v>
      </c>
      <c r="K1" s="5">
        <v>2020</v>
      </c>
      <c r="L1" s="5">
        <f>K1+1</f>
        <v>2021</v>
      </c>
      <c r="M1" s="5">
        <f t="shared" ref="M1:T1" si="0">L1+1</f>
        <v>2022</v>
      </c>
      <c r="N1" s="5">
        <f t="shared" si="0"/>
        <v>2023</v>
      </c>
      <c r="O1" s="5">
        <f t="shared" si="0"/>
        <v>2024</v>
      </c>
      <c r="P1" s="5">
        <f t="shared" si="0"/>
        <v>2025</v>
      </c>
      <c r="Q1" s="5">
        <f t="shared" si="0"/>
        <v>2026</v>
      </c>
      <c r="R1" s="5">
        <f t="shared" si="0"/>
        <v>2027</v>
      </c>
      <c r="S1" s="5">
        <f t="shared" si="0"/>
        <v>2028</v>
      </c>
      <c r="T1" s="5">
        <f t="shared" si="0"/>
        <v>2029</v>
      </c>
    </row>
    <row r="2" spans="1:117" x14ac:dyDescent="0.25">
      <c r="A2" s="3" t="s">
        <v>8</v>
      </c>
      <c r="M2" s="3">
        <v>72732</v>
      </c>
      <c r="N2" s="3">
        <v>64699</v>
      </c>
      <c r="O2" s="3">
        <v>64773</v>
      </c>
      <c r="P2" s="3">
        <f>O2*1.01</f>
        <v>65420.73</v>
      </c>
      <c r="Q2" s="3">
        <f t="shared" ref="Q2:T2" si="1">P2*1.01</f>
        <v>66074.937300000005</v>
      </c>
      <c r="R2" s="3">
        <f t="shared" si="1"/>
        <v>66735.686673000004</v>
      </c>
      <c r="S2" s="3">
        <f t="shared" si="1"/>
        <v>67403.043539730003</v>
      </c>
      <c r="T2" s="3">
        <f t="shared" si="1"/>
        <v>68077.073975127307</v>
      </c>
    </row>
    <row r="3" spans="1:117" x14ac:dyDescent="0.25">
      <c r="A3" s="3" t="s">
        <v>9</v>
      </c>
      <c r="M3" s="3">
        <v>125538</v>
      </c>
      <c r="N3" s="3">
        <v>147216</v>
      </c>
      <c r="O3" s="3">
        <v>180349</v>
      </c>
      <c r="P3" s="3">
        <f>O3*1.2</f>
        <v>216418.8</v>
      </c>
      <c r="Q3" s="3">
        <f t="shared" ref="Q3:T3" si="2">P3*1.2</f>
        <v>259702.55999999997</v>
      </c>
      <c r="R3" s="3">
        <f t="shared" si="2"/>
        <v>311643.07199999993</v>
      </c>
      <c r="S3" s="3">
        <f t="shared" si="2"/>
        <v>373971.68639999989</v>
      </c>
      <c r="T3" s="3">
        <f t="shared" si="2"/>
        <v>448766.02367999987</v>
      </c>
    </row>
    <row r="4" spans="1:117" s="4" customFormat="1" x14ac:dyDescent="0.25">
      <c r="A4" s="4" t="s">
        <v>10</v>
      </c>
      <c r="M4" s="4">
        <f>SUM(M2:M3)</f>
        <v>198270</v>
      </c>
      <c r="N4" s="4">
        <f t="shared" ref="N4:T4" si="3">SUM(N2:N3)</f>
        <v>211915</v>
      </c>
      <c r="O4" s="4">
        <f t="shared" si="3"/>
        <v>245122</v>
      </c>
      <c r="P4" s="4">
        <f t="shared" si="3"/>
        <v>281839.52999999997</v>
      </c>
      <c r="Q4" s="4">
        <f t="shared" si="3"/>
        <v>325777.49729999999</v>
      </c>
      <c r="R4" s="4">
        <f t="shared" si="3"/>
        <v>378378.75867299992</v>
      </c>
      <c r="S4" s="4">
        <f t="shared" si="3"/>
        <v>441374.72993972991</v>
      </c>
      <c r="T4" s="4">
        <f t="shared" si="3"/>
        <v>516843.09765512717</v>
      </c>
    </row>
    <row r="5" spans="1:117" x14ac:dyDescent="0.25">
      <c r="A5" s="3" t="s">
        <v>12</v>
      </c>
      <c r="M5" s="3">
        <v>19064</v>
      </c>
      <c r="N5" s="3">
        <v>17804</v>
      </c>
      <c r="O5" s="3">
        <v>15272</v>
      </c>
      <c r="P5" s="3">
        <f>P2*(1-P26)</f>
        <v>15174.739950000005</v>
      </c>
      <c r="Q5" s="3">
        <f t="shared" ref="Q5:T5" si="4">Q2*(1-Q26)</f>
        <v>15072.745099747513</v>
      </c>
      <c r="R5" s="3">
        <f t="shared" si="4"/>
        <v>14965.911480133718</v>
      </c>
      <c r="S5" s="3">
        <f t="shared" si="4"/>
        <v>14854.133230211084</v>
      </c>
      <c r="T5" s="3">
        <f t="shared" si="4"/>
        <v>14737.302565450127</v>
      </c>
    </row>
    <row r="6" spans="1:117" x14ac:dyDescent="0.25">
      <c r="A6" s="3" t="s">
        <v>13</v>
      </c>
      <c r="M6" s="3">
        <v>43586</v>
      </c>
      <c r="N6" s="3">
        <v>48059</v>
      </c>
      <c r="O6" s="3">
        <v>58842</v>
      </c>
      <c r="P6" s="3">
        <f>P3*(1-P27)</f>
        <v>69881.358000000022</v>
      </c>
      <c r="Q6" s="3">
        <f t="shared" ref="Q6:T6" si="5">Q3*(1-Q27)</f>
        <v>82978.404948000039</v>
      </c>
      <c r="R6" s="3">
        <f t="shared" si="5"/>
        <v>98513.741007288059</v>
      </c>
      <c r="S6" s="3">
        <f t="shared" si="5"/>
        <v>116937.7132227894</v>
      </c>
      <c r="T6" s="3">
        <f t="shared" si="5"/>
        <v>138783.05202828406</v>
      </c>
    </row>
    <row r="7" spans="1:117" x14ac:dyDescent="0.25">
      <c r="A7" s="3" t="s">
        <v>11</v>
      </c>
      <c r="M7" s="3">
        <f>M4-SUM(M5:M6)</f>
        <v>135620</v>
      </c>
      <c r="N7" s="3">
        <f t="shared" ref="N7:O7" si="6">N4-SUM(N5:N6)</f>
        <v>146052</v>
      </c>
      <c r="O7" s="3">
        <f t="shared" si="6"/>
        <v>171008</v>
      </c>
      <c r="P7" s="3">
        <f t="shared" ref="P7" si="7">P4-SUM(P5:P6)</f>
        <v>196783.43204999994</v>
      </c>
      <c r="Q7" s="3">
        <f t="shared" ref="Q7" si="8">Q4-SUM(Q5:Q6)</f>
        <v>227726.34725225245</v>
      </c>
      <c r="R7" s="3">
        <f t="shared" ref="R7" si="9">R4-SUM(R5:R6)</f>
        <v>264899.10618557816</v>
      </c>
      <c r="S7" s="3">
        <f t="shared" ref="S7" si="10">S4-SUM(S5:S6)</f>
        <v>309582.88348672941</v>
      </c>
      <c r="T7" s="3">
        <f t="shared" ref="T7" si="11">T4-SUM(T5:T6)</f>
        <v>363322.74306139298</v>
      </c>
    </row>
    <row r="8" spans="1:117" x14ac:dyDescent="0.25">
      <c r="A8" s="3" t="s">
        <v>14</v>
      </c>
      <c r="M8" s="3">
        <v>24512</v>
      </c>
      <c r="N8" s="3">
        <v>27195</v>
      </c>
      <c r="O8" s="3">
        <v>29510</v>
      </c>
    </row>
    <row r="9" spans="1:117" x14ac:dyDescent="0.25">
      <c r="A9" s="3" t="s">
        <v>15</v>
      </c>
      <c r="M9" s="3">
        <v>21825</v>
      </c>
      <c r="N9" s="3">
        <v>22759</v>
      </c>
      <c r="O9" s="3">
        <v>24456</v>
      </c>
    </row>
    <row r="10" spans="1:117" x14ac:dyDescent="0.25">
      <c r="A10" s="3" t="s">
        <v>16</v>
      </c>
      <c r="M10" s="3">
        <v>5900</v>
      </c>
      <c r="N10" s="3">
        <v>7575</v>
      </c>
      <c r="O10" s="3">
        <v>7609</v>
      </c>
    </row>
    <row r="11" spans="1:117" x14ac:dyDescent="0.25">
      <c r="A11" s="3" t="s">
        <v>17</v>
      </c>
      <c r="M11" s="3">
        <f>SUM(M8:M10)</f>
        <v>52237</v>
      </c>
      <c r="N11" s="3">
        <f t="shared" ref="N11:T11" si="12">SUM(N8:N10)</f>
        <v>57529</v>
      </c>
      <c r="O11" s="3">
        <f t="shared" si="12"/>
        <v>61575</v>
      </c>
      <c r="P11" s="3">
        <f>O11*(1+P20)</f>
        <v>70798.496502761889</v>
      </c>
      <c r="Q11" s="3">
        <f t="shared" ref="Q11:T11" si="13">P11*(1+Q20)</f>
        <v>81835.777271103783</v>
      </c>
      <c r="R11" s="3">
        <f t="shared" si="13"/>
        <v>95049.290007791933</v>
      </c>
      <c r="S11" s="3">
        <f t="shared" si="13"/>
        <v>110873.9688646424</v>
      </c>
      <c r="T11" s="3">
        <f t="shared" si="13"/>
        <v>129831.73170141586</v>
      </c>
    </row>
    <row r="12" spans="1:117" x14ac:dyDescent="0.25">
      <c r="A12" s="3" t="s">
        <v>18</v>
      </c>
      <c r="M12" s="3">
        <f>M7-M11</f>
        <v>83383</v>
      </c>
      <c r="N12" s="3">
        <f t="shared" ref="N12:T12" si="14">N7-N11</f>
        <v>88523</v>
      </c>
      <c r="O12" s="3">
        <f t="shared" si="14"/>
        <v>109433</v>
      </c>
      <c r="P12" s="3">
        <f t="shared" si="14"/>
        <v>125984.93554723806</v>
      </c>
      <c r="Q12" s="3">
        <f t="shared" si="14"/>
        <v>145890.56998114867</v>
      </c>
      <c r="R12" s="3">
        <f t="shared" si="14"/>
        <v>169849.81617778621</v>
      </c>
      <c r="S12" s="3">
        <f t="shared" si="14"/>
        <v>198708.914622087</v>
      </c>
      <c r="T12" s="3">
        <f t="shared" si="14"/>
        <v>233491.01135997713</v>
      </c>
    </row>
    <row r="13" spans="1:117" x14ac:dyDescent="0.25">
      <c r="A13" s="3" t="s">
        <v>22</v>
      </c>
      <c r="M13" s="3">
        <v>333</v>
      </c>
      <c r="N13" s="3">
        <v>788</v>
      </c>
      <c r="O13" s="3">
        <v>-1646</v>
      </c>
      <c r="P13" s="3">
        <f>SUM(F13:I13)</f>
        <v>0</v>
      </c>
      <c r="Q13" s="3">
        <f>P35*$W$19</f>
        <v>-3045.96</v>
      </c>
      <c r="R13" s="3">
        <f>Q35*$W$19</f>
        <v>3896.2880450838261</v>
      </c>
      <c r="S13" s="3">
        <f>R35*$W$19</f>
        <v>12340.348710315309</v>
      </c>
      <c r="T13" s="3">
        <f>S35*$W$19</f>
        <v>22597.342908270064</v>
      </c>
    </row>
    <row r="14" spans="1:117" x14ac:dyDescent="0.25">
      <c r="A14" s="3" t="s">
        <v>19</v>
      </c>
      <c r="M14" s="3">
        <f>M12+M13</f>
        <v>83716</v>
      </c>
      <c r="N14" s="3">
        <f t="shared" ref="N14:T14" si="15">N12+N13</f>
        <v>89311</v>
      </c>
      <c r="O14" s="3">
        <f t="shared" si="15"/>
        <v>107787</v>
      </c>
      <c r="P14" s="3">
        <f t="shared" si="15"/>
        <v>125984.93554723806</v>
      </c>
      <c r="Q14" s="3">
        <f t="shared" si="15"/>
        <v>142844.60998114868</v>
      </c>
      <c r="R14" s="3">
        <f t="shared" si="15"/>
        <v>173746.10422287002</v>
      </c>
      <c r="S14" s="3">
        <f t="shared" si="15"/>
        <v>211049.2633324023</v>
      </c>
      <c r="T14" s="3">
        <f t="shared" si="15"/>
        <v>256088.3542682472</v>
      </c>
    </row>
    <row r="15" spans="1:117" x14ac:dyDescent="0.25">
      <c r="A15" s="3" t="s">
        <v>20</v>
      </c>
      <c r="M15" s="3">
        <v>10978</v>
      </c>
      <c r="N15" s="3">
        <v>16950</v>
      </c>
      <c r="O15" s="3">
        <v>19651</v>
      </c>
      <c r="P15" s="3">
        <f>P14*P23</f>
        <v>23937.137753975232</v>
      </c>
      <c r="Q15" s="3">
        <f t="shared" ref="Q15:T15" si="16">Q14*Q23</f>
        <v>27140.475896418247</v>
      </c>
      <c r="R15" s="3">
        <f t="shared" si="16"/>
        <v>33011.759802345303</v>
      </c>
      <c r="S15" s="3">
        <f t="shared" si="16"/>
        <v>40099.360033156438</v>
      </c>
      <c r="T15" s="3">
        <f t="shared" si="16"/>
        <v>48656.787310966967</v>
      </c>
    </row>
    <row r="16" spans="1:117" s="4" customFormat="1" x14ac:dyDescent="0.25">
      <c r="A16" s="4" t="s">
        <v>21</v>
      </c>
      <c r="M16" s="4">
        <f>M14-M15</f>
        <v>72738</v>
      </c>
      <c r="N16" s="4">
        <f t="shared" ref="N16:T16" si="17">N14-N15</f>
        <v>72361</v>
      </c>
      <c r="O16" s="4">
        <f t="shared" si="17"/>
        <v>88136</v>
      </c>
      <c r="P16" s="4">
        <f t="shared" si="17"/>
        <v>102047.79779326283</v>
      </c>
      <c r="Q16" s="4">
        <f t="shared" si="17"/>
        <v>115704.13408473044</v>
      </c>
      <c r="R16" s="4">
        <f t="shared" si="17"/>
        <v>140734.34442052472</v>
      </c>
      <c r="S16" s="4">
        <f t="shared" si="17"/>
        <v>170949.90329924587</v>
      </c>
      <c r="T16" s="4">
        <f t="shared" si="17"/>
        <v>207431.56695728024</v>
      </c>
      <c r="U16" s="4">
        <f>T16*(1+$W$20)</f>
        <v>209505.88262685304</v>
      </c>
      <c r="V16" s="4">
        <f>U16*(1+$W$20)</f>
        <v>211600.94145312157</v>
      </c>
      <c r="W16" s="4">
        <f>V16*(1+$W$20)</f>
        <v>213716.95086765278</v>
      </c>
      <c r="X16" s="4">
        <f>W16*(1+$W$20)</f>
        <v>215854.12037632932</v>
      </c>
      <c r="Y16" s="4">
        <f>X16*(1+$W$20)</f>
        <v>218012.66158009262</v>
      </c>
      <c r="Z16" s="4">
        <f>Y16*(1+$W$20)</f>
        <v>220192.78819589355</v>
      </c>
      <c r="AA16" s="4">
        <f>Z16*(1+$W$20)</f>
        <v>222394.71607785247</v>
      </c>
      <c r="AB16" s="4">
        <f>AA16*(1+$W$20)</f>
        <v>224618.66323863101</v>
      </c>
      <c r="AC16" s="4">
        <f>AB16*(1+$W$20)</f>
        <v>226864.84987101733</v>
      </c>
      <c r="AD16" s="4">
        <f>AC16*(1+$W$20)</f>
        <v>229133.49836972752</v>
      </c>
      <c r="AE16" s="4">
        <f>AD16*(1+$W$20)</f>
        <v>231424.83335342479</v>
      </c>
      <c r="AF16" s="4">
        <f>AE16*(1+$W$20)</f>
        <v>233739.08168695905</v>
      </c>
      <c r="AG16" s="4">
        <f>AF16*(1+$W$20)</f>
        <v>236076.47250382864</v>
      </c>
      <c r="AH16" s="4">
        <f>AG16*(1+$W$20)</f>
        <v>238437.23722886693</v>
      </c>
      <c r="AI16" s="4">
        <f>AH16*(1+$W$20)</f>
        <v>240821.60960115559</v>
      </c>
      <c r="AJ16" s="4">
        <f>AI16*(1+$W$20)</f>
        <v>243229.82569716717</v>
      </c>
      <c r="AK16" s="4">
        <f>AJ16*(1+$W$20)</f>
        <v>245662.12395413883</v>
      </c>
      <c r="AL16" s="4">
        <f>AK16*(1+$W$20)</f>
        <v>248118.74519368022</v>
      </c>
      <c r="AM16" s="4">
        <f>AL16*(1+$W$20)</f>
        <v>250599.93264561702</v>
      </c>
      <c r="AN16" s="4">
        <f>AM16*(1+$W$20)</f>
        <v>253105.93197207319</v>
      </c>
      <c r="AO16" s="4">
        <f>AN16*(1+$W$20)</f>
        <v>255636.99129179391</v>
      </c>
      <c r="AP16" s="4">
        <f>AO16*(1+$W$20)</f>
        <v>258193.36120471184</v>
      </c>
      <c r="AQ16" s="4">
        <f>AP16*(1+$W$20)</f>
        <v>260775.29481675895</v>
      </c>
      <c r="AR16" s="4">
        <f>AQ16*(1+$W$20)</f>
        <v>263383.04776492657</v>
      </c>
      <c r="AS16" s="4">
        <f>AR16*(1+$W$20)</f>
        <v>266016.87824257585</v>
      </c>
      <c r="AT16" s="4">
        <f>AS16*(1+$W$20)</f>
        <v>268677.04702500161</v>
      </c>
      <c r="AU16" s="4">
        <f>AT16*(1+$W$20)</f>
        <v>271363.8174952516</v>
      </c>
      <c r="AV16" s="4">
        <f>AU16*(1+$W$20)</f>
        <v>274077.45567020413</v>
      </c>
      <c r="AW16" s="4">
        <f>AV16*(1+$W$20)</f>
        <v>276818.23022690619</v>
      </c>
      <c r="AX16" s="4">
        <f>AW16*(1+$W$20)</f>
        <v>279586.41252917523</v>
      </c>
      <c r="AY16" s="4">
        <f>AX16*(1+$W$20)</f>
        <v>282382.27665446699</v>
      </c>
      <c r="AZ16" s="4">
        <f>AY16*(1+$W$20)</f>
        <v>285206.09942101163</v>
      </c>
      <c r="BA16" s="4">
        <f>AZ16*(1+$W$20)</f>
        <v>288058.16041522176</v>
      </c>
      <c r="BB16" s="4">
        <f>BA16*(1+$W$20)</f>
        <v>290938.74201937398</v>
      </c>
      <c r="BC16" s="4">
        <f>BB16*(1+$W$20)</f>
        <v>293848.12943956774</v>
      </c>
      <c r="BD16" s="4">
        <f>BC16*(1+$W$20)</f>
        <v>296786.61073396343</v>
      </c>
      <c r="BE16" s="4">
        <f>BD16*(1+$W$20)</f>
        <v>299754.47684130305</v>
      </c>
      <c r="BF16" s="4">
        <f>BE16*(1+$W$20)</f>
        <v>302752.02160971606</v>
      </c>
      <c r="BG16" s="4">
        <f>BF16*(1+$W$20)</f>
        <v>305779.54182581324</v>
      </c>
      <c r="BH16" s="4">
        <f>BG16*(1+$W$20)</f>
        <v>308837.33724407136</v>
      </c>
      <c r="BI16" s="4">
        <f>BH16*(1+$W$20)</f>
        <v>311925.71061651205</v>
      </c>
      <c r="BJ16" s="4">
        <f>BI16*(1+$W$20)</f>
        <v>315044.96772267716</v>
      </c>
      <c r="BK16" s="4">
        <f>BJ16*(1+$W$20)</f>
        <v>318195.41739990393</v>
      </c>
      <c r="BL16" s="4">
        <f>BK16*(1+$W$20)</f>
        <v>321377.37157390296</v>
      </c>
      <c r="BM16" s="4">
        <f>BL16*(1+$W$20)</f>
        <v>324591.14528964198</v>
      </c>
      <c r="BN16" s="4">
        <f>BM16*(1+$W$20)</f>
        <v>327837.05674253841</v>
      </c>
      <c r="BO16" s="4">
        <f>BN16*(1+$W$20)</f>
        <v>331115.42730996379</v>
      </c>
      <c r="BP16" s="4">
        <f>BO16*(1+$W$20)</f>
        <v>334426.58158306341</v>
      </c>
      <c r="BQ16" s="4">
        <f>BP16*(1+$W$20)</f>
        <v>337770.84739889402</v>
      </c>
      <c r="BR16" s="4">
        <f>BQ16*(1+$W$20)</f>
        <v>341148.55587288295</v>
      </c>
      <c r="BS16" s="4">
        <f>BR16*(1+$W$20)</f>
        <v>344560.04143161175</v>
      </c>
      <c r="BT16" s="4">
        <f>BS16*(1+$W$20)</f>
        <v>348005.64184592786</v>
      </c>
      <c r="BU16" s="4">
        <f>BT16*(1+$W$20)</f>
        <v>351485.69826438715</v>
      </c>
      <c r="BV16" s="4">
        <f>BU16*(1+$W$20)</f>
        <v>355000.55524703104</v>
      </c>
      <c r="BW16" s="4">
        <f>BV16*(1+$W$20)</f>
        <v>358550.56079950137</v>
      </c>
      <c r="BX16" s="4">
        <f>BW16*(1+$W$20)</f>
        <v>362136.0664074964</v>
      </c>
      <c r="BY16" s="4">
        <f>BX16*(1+$W$20)</f>
        <v>365757.42707157135</v>
      </c>
      <c r="BZ16" s="4">
        <f>BY16*(1+$W$20)</f>
        <v>369415.00134228705</v>
      </c>
      <c r="CA16" s="4">
        <f>BZ16*(1+$W$20)</f>
        <v>373109.15135570994</v>
      </c>
      <c r="CB16" s="4">
        <f>CA16*(1+$W$20)</f>
        <v>376840.24286926707</v>
      </c>
      <c r="CC16" s="4">
        <f>CB16*(1+$W$20)</f>
        <v>380608.64529795974</v>
      </c>
      <c r="CD16" s="4">
        <f>CC16*(1+$W$20)</f>
        <v>384414.73175093933</v>
      </c>
      <c r="CE16" s="4">
        <f>CD16*(1+$W$20)</f>
        <v>388258.87906844873</v>
      </c>
      <c r="CF16" s="4">
        <f>CE16*(1+$W$20)</f>
        <v>392141.4678591332</v>
      </c>
      <c r="CG16" s="4">
        <f>CF16*(1+$W$20)</f>
        <v>396062.88253772457</v>
      </c>
      <c r="CH16" s="4">
        <f>CG16*(1+$W$20)</f>
        <v>400023.51136310183</v>
      </c>
      <c r="CI16" s="4">
        <f>CH16*(1+$W$20)</f>
        <v>404023.74647673283</v>
      </c>
      <c r="CJ16" s="4">
        <f>CI16*(1+$W$20)</f>
        <v>408063.98394150019</v>
      </c>
      <c r="CK16" s="4">
        <f>CJ16*(1+$W$20)</f>
        <v>412144.62378091522</v>
      </c>
      <c r="CL16" s="4">
        <f>CK16*(1+$W$20)</f>
        <v>416266.07001872436</v>
      </c>
      <c r="CM16" s="4">
        <f>CL16*(1+$W$20)</f>
        <v>420428.73071891163</v>
      </c>
      <c r="CN16" s="4">
        <f>CM16*(1+$W$20)</f>
        <v>424633.01802610076</v>
      </c>
      <c r="CO16" s="4">
        <f>CN16*(1+$W$20)</f>
        <v>428879.34820636176</v>
      </c>
      <c r="CP16" s="4">
        <f>CO16*(1+$W$20)</f>
        <v>433168.14168842538</v>
      </c>
      <c r="CQ16" s="4">
        <f>CP16*(1+$W$20)</f>
        <v>437499.82310530962</v>
      </c>
      <c r="CR16" s="4">
        <f>CQ16*(1+$W$20)</f>
        <v>441874.82133636274</v>
      </c>
      <c r="CS16" s="4">
        <f>CR16*(1+$W$20)</f>
        <v>446293.56954972638</v>
      </c>
      <c r="CT16" s="4">
        <f>CS16*(1+$W$20)</f>
        <v>450756.50524522364</v>
      </c>
      <c r="CU16" s="4">
        <f>CT16*(1+$W$20)</f>
        <v>455264.07029767591</v>
      </c>
      <c r="CV16" s="4">
        <f>CU16*(1+$W$20)</f>
        <v>459816.71100065269</v>
      </c>
      <c r="CW16" s="4">
        <f>CV16*(1+$W$20)</f>
        <v>464414.87811065925</v>
      </c>
      <c r="CX16" s="4">
        <f>CW16*(1+$W$20)</f>
        <v>469059.02689176582</v>
      </c>
      <c r="CY16" s="4">
        <f>CX16*(1+$W$20)</f>
        <v>473749.6171606835</v>
      </c>
      <c r="CZ16" s="4">
        <f>CY16*(1+$W$20)</f>
        <v>478487.11333229032</v>
      </c>
      <c r="DA16" s="4">
        <f>CZ16*(1+$W$20)</f>
        <v>483271.9844656132</v>
      </c>
      <c r="DB16" s="4">
        <f>DA16*(1+$W$20)</f>
        <v>488104.70431026933</v>
      </c>
      <c r="DC16" s="4">
        <f>DB16*(1+$W$20)</f>
        <v>492985.751353372</v>
      </c>
      <c r="DD16" s="4">
        <f>DC16*(1+$W$20)</f>
        <v>497915.60886690574</v>
      </c>
      <c r="DE16" s="4">
        <f>DD16*(1+$W$20)</f>
        <v>502894.76495557482</v>
      </c>
      <c r="DF16" s="4">
        <f>DE16*(1+$W$20)</f>
        <v>507923.71260513057</v>
      </c>
      <c r="DG16" s="4">
        <f>DF16*(1+$W$20)</f>
        <v>513002.9497311819</v>
      </c>
      <c r="DH16" s="4">
        <f>DG16*(1+$W$20)</f>
        <v>518132.9792284937</v>
      </c>
      <c r="DI16" s="4">
        <f>DH16*(1+$W$20)</f>
        <v>523314.30902077863</v>
      </c>
      <c r="DJ16" s="4">
        <f>DI16*(1+$W$20)</f>
        <v>528547.45211098646</v>
      </c>
      <c r="DK16" s="4">
        <f>DJ16*(1+$W$20)</f>
        <v>533832.92663209629</v>
      </c>
      <c r="DL16" s="4">
        <f>DK16*(1+$W$20)</f>
        <v>539171.25589841721</v>
      </c>
      <c r="DM16" s="4">
        <f>DL16*(1+$W$20)</f>
        <v>544562.96845740138</v>
      </c>
    </row>
    <row r="17" spans="1:23" x14ac:dyDescent="0.25">
      <c r="A17" s="3" t="s">
        <v>2</v>
      </c>
      <c r="M17" s="3">
        <v>7540</v>
      </c>
      <c r="N17" s="3">
        <v>7472</v>
      </c>
      <c r="O17" s="3">
        <v>7469</v>
      </c>
      <c r="P17" s="3">
        <v>7469</v>
      </c>
      <c r="Q17" s="3">
        <v>7469</v>
      </c>
      <c r="R17" s="3">
        <v>7469</v>
      </c>
      <c r="S17" s="3">
        <v>7469</v>
      </c>
      <c r="T17" s="3">
        <v>7469</v>
      </c>
    </row>
    <row r="18" spans="1:23" x14ac:dyDescent="0.25">
      <c r="A18" s="3" t="s">
        <v>23</v>
      </c>
      <c r="M18" s="8">
        <f>M16/M17</f>
        <v>9.6469496021220156</v>
      </c>
      <c r="N18" s="8">
        <f t="shared" ref="N18:T18" si="18">N16/N17</f>
        <v>9.6842880085653107</v>
      </c>
      <c r="O18" s="8">
        <f t="shared" si="18"/>
        <v>11.800240996117285</v>
      </c>
      <c r="P18" s="8">
        <f t="shared" si="18"/>
        <v>13.662846136465769</v>
      </c>
      <c r="Q18" s="8">
        <f t="shared" si="18"/>
        <v>15.491248371231817</v>
      </c>
      <c r="R18" s="8">
        <f t="shared" si="18"/>
        <v>18.842461429980549</v>
      </c>
      <c r="S18" s="8">
        <f t="shared" si="18"/>
        <v>22.887923858514643</v>
      </c>
      <c r="T18" s="8">
        <f t="shared" si="18"/>
        <v>27.772334577223223</v>
      </c>
    </row>
    <row r="19" spans="1:23" x14ac:dyDescent="0.25">
      <c r="V19" s="3" t="s">
        <v>42</v>
      </c>
      <c r="W19" s="10">
        <v>0.06</v>
      </c>
    </row>
    <row r="20" spans="1:23" s="4" customFormat="1" x14ac:dyDescent="0.25">
      <c r="A20" s="4" t="s">
        <v>24</v>
      </c>
      <c r="N20" s="7">
        <f>N4/M4-1</f>
        <v>6.8820295556564215E-2</v>
      </c>
      <c r="O20" s="7">
        <f>O4/N4-1</f>
        <v>0.1566996201307127</v>
      </c>
      <c r="P20" s="7">
        <f>P4/O4-1</f>
        <v>0.14979287864818325</v>
      </c>
      <c r="Q20" s="7">
        <f>Q4/P4-1</f>
        <v>0.15589710676852198</v>
      </c>
      <c r="R20" s="7">
        <f>R4/Q4-1</f>
        <v>0.16146376532741558</v>
      </c>
      <c r="S20" s="7">
        <f>S4/R4-1</f>
        <v>0.16648918530115475</v>
      </c>
      <c r="T20" s="7">
        <f>T4/S4-1</f>
        <v>0.1709847949965384</v>
      </c>
      <c r="V20" s="3" t="s">
        <v>43</v>
      </c>
      <c r="W20" s="10">
        <v>0.01</v>
      </c>
    </row>
    <row r="21" spans="1:23" s="4" customFormat="1" x14ac:dyDescent="0.25">
      <c r="A21" s="6" t="s">
        <v>47</v>
      </c>
      <c r="N21" s="7">
        <f>N2/M2-1</f>
        <v>-0.11044657097288679</v>
      </c>
      <c r="O21" s="7">
        <f>O2/N2-1</f>
        <v>1.1437580178983442E-3</v>
      </c>
      <c r="P21" s="7">
        <f t="shared" ref="P21:T21" si="19">P2/O2-1</f>
        <v>1.0000000000000009E-2</v>
      </c>
      <c r="Q21" s="7">
        <f t="shared" si="19"/>
        <v>1.0000000000000009E-2</v>
      </c>
      <c r="R21" s="7">
        <f t="shared" si="19"/>
        <v>1.0000000000000009E-2</v>
      </c>
      <c r="S21" s="7">
        <f t="shared" si="19"/>
        <v>1.0000000000000009E-2</v>
      </c>
      <c r="T21" s="7">
        <f t="shared" si="19"/>
        <v>1.0000000000000009E-2</v>
      </c>
      <c r="V21" s="3" t="s">
        <v>44</v>
      </c>
      <c r="W21" s="10">
        <v>0.08</v>
      </c>
    </row>
    <row r="22" spans="1:23" s="4" customFormat="1" x14ac:dyDescent="0.25">
      <c r="A22" s="6" t="s">
        <v>48</v>
      </c>
      <c r="M22" s="7"/>
      <c r="N22" s="7">
        <f>N3/M3-1</f>
        <v>0.17268078191463943</v>
      </c>
      <c r="O22" s="7">
        <f>O3/N3-1</f>
        <v>0.2250638517552439</v>
      </c>
      <c r="P22" s="7">
        <f t="shared" ref="P22:T22" si="20">P3/O3-1</f>
        <v>0.19999999999999996</v>
      </c>
      <c r="Q22" s="7">
        <f t="shared" si="20"/>
        <v>0.19999999999999996</v>
      </c>
      <c r="R22" s="7">
        <f t="shared" si="20"/>
        <v>0.19999999999999996</v>
      </c>
      <c r="S22" s="7">
        <f t="shared" si="20"/>
        <v>0.19999999999999996</v>
      </c>
      <c r="T22" s="7">
        <f t="shared" si="20"/>
        <v>0.19999999999999996</v>
      </c>
      <c r="V22" s="6" t="s">
        <v>45</v>
      </c>
      <c r="W22" s="4">
        <f>NPV(W21,P33:XFD33)+Sheet1!D5-Sheet1!D6</f>
        <v>2342322.3380597346</v>
      </c>
    </row>
    <row r="23" spans="1:23" x14ac:dyDescent="0.25">
      <c r="A23" s="3" t="s">
        <v>25</v>
      </c>
      <c r="M23" s="9">
        <f>M15/M14</f>
        <v>0.13113383343685794</v>
      </c>
      <c r="N23" s="9">
        <f t="shared" ref="N23:O23" si="21">N15/N14</f>
        <v>0.18978625253328257</v>
      </c>
      <c r="O23" s="9">
        <f t="shared" si="21"/>
        <v>0.18231326597827197</v>
      </c>
      <c r="P23" s="9">
        <v>0.19</v>
      </c>
      <c r="Q23" s="9">
        <v>0.19</v>
      </c>
      <c r="R23" s="9">
        <v>0.19</v>
      </c>
      <c r="S23" s="9">
        <v>0.19</v>
      </c>
      <c r="T23" s="9">
        <v>0.19</v>
      </c>
      <c r="V23" s="3" t="s">
        <v>1</v>
      </c>
      <c r="W23" s="3">
        <f>W22/Sheet1!D3</f>
        <v>315.08313284317001</v>
      </c>
    </row>
    <row r="24" spans="1:23" x14ac:dyDescent="0.25">
      <c r="V24" s="3" t="s">
        <v>46</v>
      </c>
      <c r="W24" s="9">
        <f>W23/Sheet1!D2-1</f>
        <v>-0.19621649784905615</v>
      </c>
    </row>
    <row r="25" spans="1:23" s="4" customFormat="1" x14ac:dyDescent="0.25">
      <c r="A25" s="4" t="s">
        <v>26</v>
      </c>
      <c r="M25" s="7">
        <f>M7/M4</f>
        <v>0.68401674484289099</v>
      </c>
      <c r="N25" s="7">
        <f t="shared" ref="N25:T25" si="22">N7/N4</f>
        <v>0.68920085883491022</v>
      </c>
      <c r="O25" s="7">
        <f t="shared" si="22"/>
        <v>0.69764443827971379</v>
      </c>
      <c r="P25" s="7">
        <f t="shared" si="22"/>
        <v>0.69821090054329837</v>
      </c>
      <c r="Q25" s="7">
        <f t="shared" si="22"/>
        <v>0.69902417797305749</v>
      </c>
      <c r="R25" s="7">
        <f t="shared" si="22"/>
        <v>0.70008979128373217</v>
      </c>
      <c r="S25" s="7">
        <f t="shared" si="22"/>
        <v>0.70140599922656022</v>
      </c>
      <c r="T25" s="7">
        <f t="shared" si="22"/>
        <v>0.70296526104296853</v>
      </c>
    </row>
    <row r="26" spans="1:23" s="4" customFormat="1" x14ac:dyDescent="0.25">
      <c r="A26" s="6" t="s">
        <v>40</v>
      </c>
      <c r="M26" s="11">
        <f>1-M5/M2</f>
        <v>0.73788703734257277</v>
      </c>
      <c r="N26" s="11">
        <f t="shared" ref="N26:O26" si="23">1-N5/N2</f>
        <v>0.72481800336944935</v>
      </c>
      <c r="O26" s="11">
        <f t="shared" si="23"/>
        <v>0.76422274713229277</v>
      </c>
      <c r="P26" s="11">
        <f>O26*1.005</f>
        <v>0.76804386086795418</v>
      </c>
      <c r="Q26" s="11">
        <f t="shared" ref="Q26:T26" si="24">P26*1.005</f>
        <v>0.77188408017229382</v>
      </c>
      <c r="R26" s="11">
        <f t="shared" si="24"/>
        <v>0.77574350057315522</v>
      </c>
      <c r="S26" s="11">
        <f t="shared" si="24"/>
        <v>0.77962221807602095</v>
      </c>
      <c r="T26" s="11">
        <f t="shared" si="24"/>
        <v>0.78352032916640102</v>
      </c>
    </row>
    <row r="27" spans="1:23" s="4" customFormat="1" x14ac:dyDescent="0.25">
      <c r="A27" s="6" t="s">
        <v>41</v>
      </c>
      <c r="M27" s="11">
        <f>1-M6/M3</f>
        <v>0.65280632159186858</v>
      </c>
      <c r="N27" s="11">
        <f t="shared" ref="N27:O27" si="25">1-N6/N3</f>
        <v>0.67354771220519516</v>
      </c>
      <c r="O27" s="11">
        <f t="shared" si="25"/>
        <v>0.67373259624394921</v>
      </c>
      <c r="P27" s="11">
        <f>O27*1.005</f>
        <v>0.67710125922516884</v>
      </c>
      <c r="Q27" s="11">
        <f t="shared" ref="Q27:T27" si="26">P27*1.005</f>
        <v>0.68048676552129461</v>
      </c>
      <c r="R27" s="11">
        <f t="shared" si="26"/>
        <v>0.68388919934890102</v>
      </c>
      <c r="S27" s="11">
        <f t="shared" si="26"/>
        <v>0.68730864534564551</v>
      </c>
      <c r="T27" s="11">
        <f t="shared" si="26"/>
        <v>0.69074518857237366</v>
      </c>
    </row>
    <row r="28" spans="1:23" x14ac:dyDescent="0.25">
      <c r="A28" s="3" t="s">
        <v>27</v>
      </c>
      <c r="M28" s="9">
        <f>M12/M4</f>
        <v>0.4205527815604983</v>
      </c>
      <c r="N28" s="9">
        <f t="shared" ref="N28:T28" si="27">N12/N4</f>
        <v>0.41772880636104098</v>
      </c>
      <c r="O28" s="9">
        <f t="shared" si="27"/>
        <v>0.44644299573273716</v>
      </c>
      <c r="P28" s="9">
        <f t="shared" si="27"/>
        <v>0.44700945799632175</v>
      </c>
      <c r="Q28" s="9">
        <f t="shared" si="27"/>
        <v>0.44782273542608086</v>
      </c>
      <c r="R28" s="9">
        <f t="shared" si="27"/>
        <v>0.44888834873675543</v>
      </c>
      <c r="S28" s="9">
        <f t="shared" si="27"/>
        <v>0.45020455667958353</v>
      </c>
      <c r="T28" s="9">
        <f t="shared" si="27"/>
        <v>0.45176381849599195</v>
      </c>
    </row>
    <row r="29" spans="1:23" x14ac:dyDescent="0.25">
      <c r="A29" s="3" t="s">
        <v>28</v>
      </c>
    </row>
    <row r="30" spans="1:23" x14ac:dyDescent="0.25">
      <c r="M30" s="9">
        <f>M31/M16</f>
        <v>1.224050702521378</v>
      </c>
      <c r="N30" s="9">
        <f>N31/N16</f>
        <v>1.2103481156976825</v>
      </c>
      <c r="O30" s="9">
        <f>O31/O16</f>
        <v>1.3450576381955159</v>
      </c>
      <c r="P30" s="9">
        <f>O30*1.005</f>
        <v>1.3517829263864933</v>
      </c>
      <c r="Q30" s="9">
        <f t="shared" ref="Q30:T30" si="28">P30*1.005</f>
        <v>1.3585418410184256</v>
      </c>
      <c r="R30" s="9">
        <f t="shared" si="28"/>
        <v>1.3653345502235175</v>
      </c>
      <c r="S30" s="9">
        <f t="shared" si="28"/>
        <v>1.3721612229746349</v>
      </c>
      <c r="T30" s="9">
        <f t="shared" si="28"/>
        <v>1.3790220290895079</v>
      </c>
    </row>
    <row r="31" spans="1:23" x14ac:dyDescent="0.25">
      <c r="A31" s="3" t="s">
        <v>29</v>
      </c>
      <c r="M31" s="3">
        <v>89035</v>
      </c>
      <c r="N31" s="3">
        <v>87582</v>
      </c>
      <c r="O31" s="3">
        <v>118548</v>
      </c>
      <c r="P31" s="3">
        <f>P30*P16</f>
        <v>137946.47073227397</v>
      </c>
      <c r="Q31" s="3">
        <f t="shared" ref="Q31:T31" si="29">Q30*Q16</f>
        <v>157188.90733291247</v>
      </c>
      <c r="R31" s="3">
        <f t="shared" si="29"/>
        <v>192149.46284039872</v>
      </c>
      <c r="S31" s="3">
        <f t="shared" si="29"/>
        <v>234570.82837848878</v>
      </c>
      <c r="T31" s="3">
        <f t="shared" si="29"/>
        <v>286052.70036264474</v>
      </c>
    </row>
    <row r="32" spans="1:23" x14ac:dyDescent="0.25">
      <c r="A32" s="3" t="s">
        <v>30</v>
      </c>
      <c r="M32" s="3">
        <v>23886</v>
      </c>
      <c r="N32" s="3">
        <v>28107</v>
      </c>
      <c r="O32" s="3">
        <v>44477</v>
      </c>
      <c r="P32" s="3">
        <f>O32*(1+P20)</f>
        <v>51139.337863635243</v>
      </c>
      <c r="Q32" s="3">
        <f t="shared" ref="Q32:T32" si="30">P32*(1+Q20)</f>
        <v>59111.812678633905</v>
      </c>
      <c r="R32" s="3">
        <f t="shared" si="30"/>
        <v>68656.228529054992</v>
      </c>
      <c r="S32" s="3">
        <f t="shared" si="30"/>
        <v>80086.748082707258</v>
      </c>
      <c r="T32" s="3">
        <f t="shared" si="30"/>
        <v>93780.364285568372</v>
      </c>
    </row>
    <row r="33" spans="1:123" s="4" customFormat="1" x14ac:dyDescent="0.25">
      <c r="A33" s="4" t="s">
        <v>31</v>
      </c>
      <c r="M33" s="4">
        <f>M31-M32</f>
        <v>65149</v>
      </c>
      <c r="N33" s="4">
        <f t="shared" ref="N33:O33" si="31">N31-N32</f>
        <v>59475</v>
      </c>
      <c r="O33" s="4">
        <f t="shared" si="31"/>
        <v>74071</v>
      </c>
      <c r="P33" s="4">
        <f t="shared" ref="P33" si="32">P31-P32</f>
        <v>86807.132868638728</v>
      </c>
      <c r="Q33" s="4">
        <f t="shared" ref="Q33" si="33">Q31-Q32</f>
        <v>98077.094654278568</v>
      </c>
      <c r="R33" s="4">
        <f t="shared" ref="R33" si="34">R31-R32</f>
        <v>123493.23431134372</v>
      </c>
      <c r="S33" s="4">
        <f t="shared" ref="S33" si="35">S31-S32</f>
        <v>154484.08029578152</v>
      </c>
      <c r="T33" s="4">
        <f t="shared" ref="T33" si="36">T31-T32</f>
        <v>192272.33607707638</v>
      </c>
      <c r="U33" s="4">
        <f>T33*(1+$W$20)</f>
        <v>194195.05943784714</v>
      </c>
      <c r="V33" s="4">
        <f>U33*(1+$W$20)</f>
        <v>196137.0100322256</v>
      </c>
      <c r="W33" s="4">
        <f>V33*(1+$W$20)</f>
        <v>198098.38013254787</v>
      </c>
      <c r="X33" s="4">
        <f>W33*(1+$W$20)</f>
        <v>200079.36393387336</v>
      </c>
      <c r="Y33" s="4">
        <f>X33*(1+$W$20)</f>
        <v>202080.15757321211</v>
      </c>
      <c r="Z33" s="4">
        <f>Y33*(1+$W$20)</f>
        <v>204100.95914894424</v>
      </c>
      <c r="AA33" s="4">
        <f>Z33*(1+$W$20)</f>
        <v>206141.96874043369</v>
      </c>
      <c r="AB33" s="4">
        <f>AA33*(1+$W$20)</f>
        <v>208203.38842783801</v>
      </c>
      <c r="AC33" s="4">
        <f>AB33*(1+$W$20)</f>
        <v>210285.4223121164</v>
      </c>
      <c r="AD33" s="4">
        <f>AC33*(1+$W$20)</f>
        <v>212388.27653523756</v>
      </c>
      <c r="AE33" s="4">
        <f>AD33*(1+$W$20)</f>
        <v>214512.15930058993</v>
      </c>
      <c r="AF33" s="4">
        <f>AE33*(1+$W$20)</f>
        <v>216657.28089359583</v>
      </c>
      <c r="AG33" s="4">
        <f>AF33*(1+$W$20)</f>
        <v>218823.85370253178</v>
      </c>
      <c r="AH33" s="4">
        <f>AG33*(1+$W$20)</f>
        <v>221012.0922395571</v>
      </c>
      <c r="AI33" s="4">
        <f>AH33*(1+$W$20)</f>
        <v>223222.21316195268</v>
      </c>
      <c r="AJ33" s="4">
        <f>AI33*(1+$W$20)</f>
        <v>225454.4352935722</v>
      </c>
      <c r="AK33" s="4">
        <f>AJ33*(1+$W$20)</f>
        <v>227708.97964650791</v>
      </c>
      <c r="AL33" s="4">
        <f>AK33*(1+$W$20)</f>
        <v>229986.06944297301</v>
      </c>
      <c r="AM33" s="4">
        <f>AL33*(1+$W$20)</f>
        <v>232285.93013740273</v>
      </c>
      <c r="AN33" s="4">
        <f>AM33*(1+$W$20)</f>
        <v>234608.78943877676</v>
      </c>
      <c r="AO33" s="4">
        <f>AN33*(1+$W$20)</f>
        <v>236954.87733316454</v>
      </c>
      <c r="AP33" s="4">
        <f>AO33*(1+$W$20)</f>
        <v>239324.42610649619</v>
      </c>
      <c r="AQ33" s="4">
        <f>AP33*(1+$W$20)</f>
        <v>241717.67036756116</v>
      </c>
      <c r="AR33" s="4">
        <f>AQ33*(1+$W$20)</f>
        <v>244134.84707123679</v>
      </c>
      <c r="AS33" s="4">
        <f>AR33*(1+$W$20)</f>
        <v>246576.19554194916</v>
      </c>
      <c r="AT33" s="4">
        <f>AS33*(1+$W$20)</f>
        <v>249041.95749736865</v>
      </c>
      <c r="AU33" s="4">
        <f>AT33*(1+$W$20)</f>
        <v>251532.37707234235</v>
      </c>
      <c r="AV33" s="4">
        <f>AU33*(1+$W$20)</f>
        <v>254047.70084306577</v>
      </c>
      <c r="AW33" s="4">
        <f>AV33*(1+$W$20)</f>
        <v>256588.17785149644</v>
      </c>
      <c r="AX33" s="4">
        <f>AW33*(1+$W$20)</f>
        <v>259154.05963001141</v>
      </c>
      <c r="AY33" s="4">
        <f>AX33*(1+$W$20)</f>
        <v>261745.60022631154</v>
      </c>
      <c r="AZ33" s="4">
        <f>AY33*(1+$W$20)</f>
        <v>264363.05622857466</v>
      </c>
      <c r="BA33" s="4">
        <f>AZ33*(1+$W$20)</f>
        <v>267006.68679086043</v>
      </c>
      <c r="BB33" s="4">
        <f>BA33*(1+$W$20)</f>
        <v>269676.75365876901</v>
      </c>
      <c r="BC33" s="4">
        <f>BB33*(1+$W$20)</f>
        <v>272373.52119535668</v>
      </c>
      <c r="BD33" s="4">
        <f>BC33*(1+$W$20)</f>
        <v>275097.25640731025</v>
      </c>
      <c r="BE33" s="4">
        <f>BD33*(1+$W$20)</f>
        <v>277848.22897138336</v>
      </c>
      <c r="BF33" s="4">
        <f>BE33*(1+$W$20)</f>
        <v>280626.71126109717</v>
      </c>
      <c r="BG33" s="4">
        <f>BF33*(1+$W$20)</f>
        <v>283432.97837370815</v>
      </c>
      <c r="BH33" s="4">
        <f>BG33*(1+$W$20)</f>
        <v>286267.30815744522</v>
      </c>
      <c r="BI33" s="4">
        <f>BH33*(1+$W$20)</f>
        <v>289129.98123901966</v>
      </c>
      <c r="BJ33" s="4">
        <f>BI33*(1+$W$20)</f>
        <v>292021.28105140984</v>
      </c>
      <c r="BK33" s="4">
        <f>BJ33*(1+$W$20)</f>
        <v>294941.49386192393</v>
      </c>
      <c r="BL33" s="4">
        <f>BK33*(1+$W$20)</f>
        <v>297890.90880054317</v>
      </c>
      <c r="BM33" s="4">
        <f>BL33*(1+$W$20)</f>
        <v>300869.8178885486</v>
      </c>
      <c r="BN33" s="4">
        <f>BM33*(1+$W$20)</f>
        <v>303878.5160674341</v>
      </c>
      <c r="BO33" s="4">
        <f>BN33*(1+$W$20)</f>
        <v>306917.30122810847</v>
      </c>
      <c r="BP33" s="4">
        <f>BO33*(1+$W$20)</f>
        <v>309986.47424038954</v>
      </c>
      <c r="BQ33" s="4">
        <f>BP33*(1+$W$20)</f>
        <v>313086.33898279344</v>
      </c>
      <c r="BR33" s="4">
        <f>BQ33*(1+$W$20)</f>
        <v>316217.2023726214</v>
      </c>
      <c r="BS33" s="4">
        <f>BR33*(1+$W$20)</f>
        <v>319379.37439634762</v>
      </c>
      <c r="BT33" s="4">
        <f>BS33*(1+$W$20)</f>
        <v>322573.16814031109</v>
      </c>
      <c r="BU33" s="4">
        <f>BT33*(1+$W$20)</f>
        <v>325798.89982171421</v>
      </c>
      <c r="BV33" s="4">
        <f>BU33*(1+$W$20)</f>
        <v>329056.88881993137</v>
      </c>
      <c r="BW33" s="4">
        <f>BV33*(1+$W$20)</f>
        <v>332347.45770813071</v>
      </c>
      <c r="BX33" s="4">
        <f>BW33*(1+$W$20)</f>
        <v>335670.93228521204</v>
      </c>
      <c r="BY33" s="4">
        <f>BX33*(1+$W$20)</f>
        <v>339027.64160806418</v>
      </c>
      <c r="BZ33" s="4">
        <f>BY33*(1+$W$20)</f>
        <v>342417.91802414483</v>
      </c>
      <c r="CA33" s="4">
        <f>BZ33*(1+$W$20)</f>
        <v>345842.09720438626</v>
      </c>
      <c r="CB33" s="4">
        <f>CA33*(1+$W$20)</f>
        <v>349300.51817643014</v>
      </c>
      <c r="CC33" s="4">
        <f>CB33*(1+$W$20)</f>
        <v>352793.52335819445</v>
      </c>
      <c r="CD33" s="4">
        <f>CC33*(1+$W$20)</f>
        <v>356321.45859177638</v>
      </c>
      <c r="CE33" s="4">
        <f>CD33*(1+$W$20)</f>
        <v>359884.67317769415</v>
      </c>
      <c r="CF33" s="4">
        <f>CE33*(1+$W$20)</f>
        <v>363483.5199094711</v>
      </c>
      <c r="CG33" s="4">
        <f>CF33*(1+$W$20)</f>
        <v>367118.35510856583</v>
      </c>
      <c r="CH33" s="4">
        <f>CG33*(1+$W$20)</f>
        <v>370789.53865965147</v>
      </c>
      <c r="CI33" s="4">
        <f>CH33*(1+$W$20)</f>
        <v>374497.43404624797</v>
      </c>
      <c r="CJ33" s="4">
        <f>CI33*(1+$W$20)</f>
        <v>378242.40838671045</v>
      </c>
      <c r="CK33" s="4">
        <f>CJ33*(1+$W$20)</f>
        <v>382024.83247057756</v>
      </c>
      <c r="CL33" s="4">
        <f>CK33*(1+$W$20)</f>
        <v>385845.08079528331</v>
      </c>
      <c r="CM33" s="4">
        <f>CL33*(1+$W$20)</f>
        <v>389703.53160323616</v>
      </c>
      <c r="CN33" s="4">
        <f>CM33*(1+$W$20)</f>
        <v>393600.56691926852</v>
      </c>
      <c r="CO33" s="4">
        <f>CN33*(1+$W$20)</f>
        <v>397536.57258846122</v>
      </c>
      <c r="CP33" s="4">
        <f>CO33*(1+$W$20)</f>
        <v>401511.93831434584</v>
      </c>
      <c r="CQ33" s="4">
        <f>CP33*(1+$W$20)</f>
        <v>405527.05769748928</v>
      </c>
      <c r="CR33" s="4">
        <f>CQ33*(1+$W$20)</f>
        <v>409582.32827446418</v>
      </c>
      <c r="CS33" s="4">
        <f>CR33*(1+$W$20)</f>
        <v>413678.1515572088</v>
      </c>
      <c r="CT33" s="4">
        <f>CS33*(1+$W$20)</f>
        <v>417814.9330727809</v>
      </c>
      <c r="CU33" s="4">
        <f>CT33*(1+$W$20)</f>
        <v>421993.08240350871</v>
      </c>
      <c r="CV33" s="4">
        <f>CU33*(1+$W$20)</f>
        <v>426213.01322754379</v>
      </c>
      <c r="CW33" s="4">
        <f>CV33*(1+$W$20)</f>
        <v>430475.14335981925</v>
      </c>
      <c r="CX33" s="4">
        <f>CW33*(1+$W$20)</f>
        <v>434779.89479341742</v>
      </c>
      <c r="CY33" s="4">
        <f>CX33*(1+$W$20)</f>
        <v>439127.6937413516</v>
      </c>
      <c r="CZ33" s="4">
        <f>CY33*(1+$W$20)</f>
        <v>443518.97067876509</v>
      </c>
      <c r="DA33" s="4">
        <f>CZ33*(1+$W$20)</f>
        <v>447954.16038555274</v>
      </c>
      <c r="DB33" s="4">
        <f>DA33*(1+$W$20)</f>
        <v>452433.70198940829</v>
      </c>
      <c r="DC33" s="4">
        <f>DB33*(1+$W$20)</f>
        <v>456958.03900930239</v>
      </c>
      <c r="DD33" s="4">
        <f>DC33*(1+$W$20)</f>
        <v>461527.61939939542</v>
      </c>
      <c r="DE33" s="4">
        <f>DD33*(1+$W$20)</f>
        <v>466142.8955933894</v>
      </c>
      <c r="DF33" s="4">
        <f>DE33*(1+$W$20)</f>
        <v>470804.3245493233</v>
      </c>
      <c r="DG33" s="4">
        <f>DF33*(1+$W$20)</f>
        <v>475512.36779481656</v>
      </c>
      <c r="DH33" s="4">
        <f>DG33*(1+$W$20)</f>
        <v>480267.49147276476</v>
      </c>
      <c r="DI33" s="4">
        <f>DH33*(1+$W$20)</f>
        <v>485070.16638749238</v>
      </c>
      <c r="DJ33" s="4">
        <f>DI33*(1+$W$20)</f>
        <v>489920.86805136729</v>
      </c>
      <c r="DK33" s="4">
        <f>DJ33*(1+$W$20)</f>
        <v>494820.07673188095</v>
      </c>
      <c r="DL33" s="4">
        <f>DK33*(1+$W$20)</f>
        <v>499768.27749919979</v>
      </c>
      <c r="DM33" s="4">
        <f>DL33*(1+$W$20)</f>
        <v>504765.96027419181</v>
      </c>
      <c r="DN33" s="4">
        <f>DM33*(1+$W$20)</f>
        <v>509813.61987693375</v>
      </c>
      <c r="DO33" s="4">
        <f>DN33*(1+$W$20)</f>
        <v>514911.75607570307</v>
      </c>
      <c r="DP33" s="4">
        <f>DO33*(1+$W$20)</f>
        <v>520060.87363646011</v>
      </c>
      <c r="DQ33" s="4">
        <f>DP33*(1+$W$20)</f>
        <v>525261.48237282468</v>
      </c>
      <c r="DR33" s="4">
        <f>DQ33*(1+$W$20)</f>
        <v>530514.0971965529</v>
      </c>
      <c r="DS33" s="4">
        <f>DR33*(1+$W$20)</f>
        <v>535819.23816851841</v>
      </c>
    </row>
    <row r="34" spans="1:123" x14ac:dyDescent="0.25">
      <c r="M34" s="9">
        <f>M33/M4</f>
        <v>0.32858727997175569</v>
      </c>
      <c r="N34" s="9">
        <f t="shared" ref="N34:O34" si="37">N33/N4</f>
        <v>0.28065497959087371</v>
      </c>
      <c r="O34" s="9">
        <f t="shared" si="37"/>
        <v>0.30218013886962408</v>
      </c>
      <c r="P34" s="9">
        <f t="shared" ref="P34" si="38">P33/P4</f>
        <v>0.30800197853238948</v>
      </c>
      <c r="Q34" s="9">
        <f t="shared" ref="Q34" si="39">Q33/Q4</f>
        <v>0.30105546106507758</v>
      </c>
      <c r="R34" s="9">
        <f t="shared" ref="R34" si="40">R33/R4</f>
        <v>0.32637464836673946</v>
      </c>
      <c r="S34" s="9">
        <f t="shared" ref="S34" si="41">S33/S4</f>
        <v>0.35000662660700227</v>
      </c>
      <c r="T34" s="9">
        <f t="shared" ref="T34" si="42">T33/T4</f>
        <v>0.37201297056959742</v>
      </c>
    </row>
    <row r="35" spans="1:123" x14ac:dyDescent="0.25">
      <c r="A35" s="3" t="s">
        <v>32</v>
      </c>
      <c r="G35" s="3">
        <f>G37-G39</f>
        <v>-50766</v>
      </c>
      <c r="H35" s="3">
        <f>G35+H16</f>
        <v>-50766</v>
      </c>
      <c r="I35" s="3">
        <f>H35+I16</f>
        <v>-50766</v>
      </c>
      <c r="P35" s="3">
        <f>I35</f>
        <v>-50766</v>
      </c>
      <c r="Q35" s="3">
        <f>P35+Q16</f>
        <v>64938.134084730438</v>
      </c>
      <c r="R35" s="3">
        <f t="shared" ref="R35:T35" si="43">Q35+R16</f>
        <v>205672.47850525516</v>
      </c>
      <c r="S35" s="3">
        <f t="shared" si="43"/>
        <v>376622.38180450106</v>
      </c>
      <c r="T35" s="3">
        <f t="shared" si="43"/>
        <v>584053.94876178133</v>
      </c>
    </row>
    <row r="37" spans="1:123" x14ac:dyDescent="0.25">
      <c r="A37" s="3" t="s">
        <v>4</v>
      </c>
      <c r="G37" s="3">
        <f>17482+54073</f>
        <v>71555</v>
      </c>
    </row>
    <row r="39" spans="1:123" x14ac:dyDescent="0.25">
      <c r="A39" s="3" t="s">
        <v>5</v>
      </c>
      <c r="G39" s="3">
        <f>39722+24389+2537+2513+17254+35906</f>
        <v>122321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2025-04-28T19:55:14Z</dcterms:created>
  <dcterms:modified xsi:type="dcterms:W3CDTF">2025-04-28T20:11:13Z</dcterms:modified>
</cp:coreProperties>
</file>