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4C1459F9-9D08-4BAA-8A85-72D13E27479C}" xr6:coauthVersionLast="47" xr6:coauthVersionMax="47" xr10:uidLastSave="{00000000-0000-0000-0000-000000000000}"/>
  <bookViews>
    <workbookView xWindow="7140" yWindow="705" windowWidth="20745" windowHeight="14475" activeTab="1" xr2:uid="{48687CDE-C838-4D92-92A6-E2D215D3B2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N2" i="2"/>
  <c r="O2" i="2" s="1"/>
  <c r="L2" i="2"/>
  <c r="L21" i="2"/>
  <c r="M21" i="2" s="1"/>
  <c r="K21" i="2"/>
  <c r="K27" i="2"/>
  <c r="H21" i="2"/>
  <c r="I21" i="2"/>
  <c r="J21" i="2"/>
  <c r="K7" i="2"/>
  <c r="L7" i="2" s="1"/>
  <c r="M7" i="2" s="1"/>
  <c r="N7" i="2" s="1"/>
  <c r="O7" i="2" s="1"/>
  <c r="J27" i="2"/>
  <c r="J29" i="2" s="1"/>
  <c r="K2" i="2"/>
  <c r="K19" i="2"/>
  <c r="L19" i="2" s="1"/>
  <c r="M19" i="2" s="1"/>
  <c r="N19" i="2" s="1"/>
  <c r="O19" i="2" s="1"/>
  <c r="J32" i="2"/>
  <c r="J30" i="2" s="1"/>
  <c r="K9" i="2" s="1"/>
  <c r="H17" i="2"/>
  <c r="I17" i="2"/>
  <c r="J17" i="2"/>
  <c r="I27" i="2"/>
  <c r="H27" i="2"/>
  <c r="F27" i="2"/>
  <c r="B27" i="2"/>
  <c r="C27" i="2"/>
  <c r="D27" i="2"/>
  <c r="E27" i="2"/>
  <c r="I8" i="2"/>
  <c r="J8" i="2"/>
  <c r="H8" i="2"/>
  <c r="C8" i="2"/>
  <c r="D8" i="2"/>
  <c r="E8" i="2"/>
  <c r="F8" i="2"/>
  <c r="B8" i="2"/>
  <c r="B4" i="2"/>
  <c r="B19" i="2" s="1"/>
  <c r="C4" i="2"/>
  <c r="C19" i="2" s="1"/>
  <c r="D4" i="2"/>
  <c r="D19" i="2" s="1"/>
  <c r="I4" i="2"/>
  <c r="I19" i="2" s="1"/>
  <c r="J4" i="2"/>
  <c r="J19" i="2" s="1"/>
  <c r="H4" i="2"/>
  <c r="E4" i="2"/>
  <c r="G17" i="1"/>
  <c r="H20" i="2"/>
  <c r="I20" i="2"/>
  <c r="J18" i="2"/>
  <c r="I18" i="2"/>
  <c r="I1" i="2"/>
  <c r="H1" i="2" s="1"/>
  <c r="K1" i="2"/>
  <c r="L1" i="2" s="1"/>
  <c r="M1" i="2" s="1"/>
  <c r="N1" i="2" s="1"/>
  <c r="O1" i="2" s="1"/>
  <c r="G23" i="1"/>
  <c r="G24" i="1" s="1"/>
  <c r="G16" i="1"/>
  <c r="G19" i="1" s="1"/>
  <c r="M27" i="2" l="1"/>
  <c r="N21" i="2"/>
  <c r="O21" i="2" s="1"/>
  <c r="O27" i="2" s="1"/>
  <c r="L27" i="2"/>
  <c r="N27" i="2"/>
  <c r="D11" i="2"/>
  <c r="K3" i="2"/>
  <c r="K4" i="2" s="1"/>
  <c r="J11" i="2"/>
  <c r="E11" i="2"/>
  <c r="E13" i="2" s="1"/>
  <c r="E20" i="2" s="1"/>
  <c r="B11" i="2"/>
  <c r="B13" i="2" s="1"/>
  <c r="C11" i="2"/>
  <c r="C13" i="2" s="1"/>
  <c r="H11" i="2"/>
  <c r="H23" i="2" s="1"/>
  <c r="H19" i="2"/>
  <c r="E19" i="2"/>
  <c r="D13" i="2"/>
  <c r="I11" i="2"/>
  <c r="I23" i="2" s="1"/>
  <c r="K18" i="2"/>
  <c r="H22" i="1"/>
  <c r="H23" i="1"/>
  <c r="H24" i="1"/>
  <c r="L18" i="2"/>
  <c r="K5" i="2" l="1"/>
  <c r="K6" i="2"/>
  <c r="L5" i="2"/>
  <c r="L6" i="2"/>
  <c r="K17" i="2"/>
  <c r="L3" i="2"/>
  <c r="L4" i="2" s="1"/>
  <c r="M3" i="2"/>
  <c r="J23" i="2"/>
  <c r="J13" i="2"/>
  <c r="J15" i="2" s="1"/>
  <c r="L17" i="2" l="1"/>
  <c r="J20" i="2"/>
  <c r="N3" i="2"/>
  <c r="M4" i="2"/>
  <c r="M18" i="2"/>
  <c r="M6" i="2" s="1"/>
  <c r="M5" i="2" l="1"/>
  <c r="O3" i="2"/>
  <c r="N4" i="2"/>
  <c r="N18" i="2"/>
  <c r="N6" i="2" s="1"/>
  <c r="N5" i="2" l="1"/>
  <c r="M17" i="2"/>
  <c r="O4" i="2"/>
  <c r="O18" i="2"/>
  <c r="O6" i="2" s="1"/>
  <c r="O5" i="2" l="1"/>
  <c r="O17" i="2"/>
  <c r="N17" i="2"/>
  <c r="F3" i="2"/>
  <c r="F4" i="2"/>
  <c r="F11" i="2" s="1"/>
  <c r="F13" i="2" s="1"/>
  <c r="F20" i="2" s="1"/>
  <c r="L8" i="2"/>
  <c r="K8" i="2"/>
  <c r="K11" i="2" s="1"/>
  <c r="M8" i="2" l="1"/>
  <c r="N8" i="2"/>
  <c r="O8" i="2"/>
  <c r="K12" i="2"/>
  <c r="K13" i="2" s="1"/>
  <c r="K15" i="2" s="1"/>
  <c r="K20" i="2" l="1"/>
  <c r="K30" i="2"/>
  <c r="K29" i="2" l="1"/>
  <c r="G20" i="1" s="1"/>
  <c r="L9" i="2"/>
  <c r="L11" i="2" s="1"/>
  <c r="L12" i="2" l="1"/>
  <c r="L13" i="2" s="1"/>
  <c r="L15" i="2" s="1"/>
  <c r="L20" i="2" l="1"/>
  <c r="L30" i="2"/>
  <c r="L29" i="2" l="1"/>
  <c r="M9" i="2"/>
  <c r="M11" i="2" s="1"/>
  <c r="M12" i="2" l="1"/>
  <c r="M13" i="2" s="1"/>
  <c r="M15" i="2" s="1"/>
  <c r="M20" i="2" l="1"/>
  <c r="M30" i="2"/>
  <c r="M29" i="2" l="1"/>
  <c r="N9" i="2"/>
  <c r="N11" i="2" s="1"/>
  <c r="N12" i="2" l="1"/>
  <c r="N13" i="2" s="1"/>
  <c r="N15" i="2" s="1"/>
  <c r="N20" i="2" l="1"/>
  <c r="N30" i="2"/>
  <c r="N29" i="2" l="1"/>
  <c r="O9" i="2"/>
  <c r="O11" i="2" s="1"/>
  <c r="O12" i="2" l="1"/>
  <c r="O13" i="2" s="1"/>
  <c r="O15" i="2" s="1"/>
  <c r="O20" i="2" l="1"/>
  <c r="P13" i="2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O30" i="2"/>
  <c r="P27" i="2" l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R20" i="2" s="1"/>
  <c r="R21" i="2" s="1"/>
  <c r="R22" i="2" s="1"/>
  <c r="O29" i="2"/>
</calcChain>
</file>

<file path=xl/sharedStrings.xml><?xml version="1.0" encoding="utf-8"?>
<sst xmlns="http://schemas.openxmlformats.org/spreadsheetml/2006/main" count="52" uniqueCount="44">
  <si>
    <t>PINS</t>
  </si>
  <si>
    <t>Price</t>
  </si>
  <si>
    <t>Shares</t>
  </si>
  <si>
    <t>MC</t>
  </si>
  <si>
    <t>Cash</t>
  </si>
  <si>
    <t>Debt</t>
  </si>
  <si>
    <t>EV</t>
  </si>
  <si>
    <t>FCF</t>
  </si>
  <si>
    <t>Run Rate</t>
  </si>
  <si>
    <t>NTM</t>
  </si>
  <si>
    <t>Revenue</t>
  </si>
  <si>
    <t>Net Income</t>
  </si>
  <si>
    <t>Revenue Growth</t>
  </si>
  <si>
    <t>Gross Margin</t>
  </si>
  <si>
    <t>Net Margin</t>
  </si>
  <si>
    <t>CFFO</t>
  </si>
  <si>
    <t>Q124</t>
  </si>
  <si>
    <t>Q224</t>
  </si>
  <si>
    <t>Q324</t>
  </si>
  <si>
    <t>Q424</t>
  </si>
  <si>
    <t>Q125</t>
  </si>
  <si>
    <t>Maturity</t>
  </si>
  <si>
    <t>Discount</t>
  </si>
  <si>
    <t>NPV</t>
  </si>
  <si>
    <t>Diff</t>
  </si>
  <si>
    <t>Pretax Income</t>
  </si>
  <si>
    <t>Tax</t>
  </si>
  <si>
    <t>Tax Rate</t>
  </si>
  <si>
    <t>MAU</t>
  </si>
  <si>
    <t>COGS</t>
  </si>
  <si>
    <t>R&amp;D</t>
  </si>
  <si>
    <t>S&amp;M</t>
  </si>
  <si>
    <t>G&amp;A</t>
  </si>
  <si>
    <t>OPEX</t>
  </si>
  <si>
    <t>Other Income</t>
  </si>
  <si>
    <t>Gross Profit</t>
  </si>
  <si>
    <t>Interest</t>
  </si>
  <si>
    <t>CX</t>
  </si>
  <si>
    <t>Net Cash</t>
  </si>
  <si>
    <t>R&amp;D % of R</t>
  </si>
  <si>
    <t>ROIC</t>
  </si>
  <si>
    <t>EPS</t>
  </si>
  <si>
    <t>PE</t>
  </si>
  <si>
    <t>FCF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</si>
</sst>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9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19050</xdr:colOff>
      <xdr:row>44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40F20E6-FE19-897D-49EA-F937B6646118}"/>
            </a:ext>
          </a:extLst>
        </xdr:cNvPr>
        <xdr:cNvCxnSpPr/>
      </xdr:nvCxnSpPr>
      <xdr:spPr>
        <a:xfrm flipH="1">
          <a:off x="6096000" y="0"/>
          <a:ext cx="19050" cy="5514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0</xdr:row>
      <xdr:rowOff>9525</xdr:rowOff>
    </xdr:from>
    <xdr:to>
      <xdr:col>5</xdr:col>
      <xdr:colOff>0</xdr:colOff>
      <xdr:row>44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86A3CB-0BEC-9DEB-5BD0-735C76F36144}"/>
            </a:ext>
          </a:extLst>
        </xdr:cNvPr>
        <xdr:cNvCxnSpPr/>
      </xdr:nvCxnSpPr>
      <xdr:spPr>
        <a:xfrm>
          <a:off x="3038475" y="9525"/>
          <a:ext cx="9525" cy="5486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AB11-F388-4BB8-9EB8-C99DB9269CC8}">
  <dimension ref="A13:H24"/>
  <sheetViews>
    <sheetView topLeftCell="A13" zoomScale="220" zoomScaleNormal="220" workbookViewId="0">
      <selection activeCell="G17" sqref="G17"/>
    </sheetView>
  </sheetViews>
  <sheetFormatPr defaultRowHeight="15" x14ac:dyDescent="0.25"/>
  <sheetData>
    <row r="13" spans="1:8" x14ac:dyDescent="0.25">
      <c r="A13" s="1" t="s">
        <v>0</v>
      </c>
    </row>
    <row r="14" spans="1:8" x14ac:dyDescent="0.25">
      <c r="F14" t="s">
        <v>1</v>
      </c>
      <c r="G14" s="2">
        <v>26</v>
      </c>
    </row>
    <row r="15" spans="1:8" x14ac:dyDescent="0.25">
      <c r="F15" t="s">
        <v>2</v>
      </c>
      <c r="G15" s="2">
        <v>678.24</v>
      </c>
      <c r="H15" t="s">
        <v>19</v>
      </c>
    </row>
    <row r="16" spans="1:8" x14ac:dyDescent="0.25">
      <c r="F16" t="s">
        <v>3</v>
      </c>
      <c r="G16" s="2">
        <f>G15*G14</f>
        <v>17634.240000000002</v>
      </c>
    </row>
    <row r="17" spans="6:8" x14ac:dyDescent="0.25">
      <c r="F17" t="s">
        <v>4</v>
      </c>
      <c r="G17" s="2">
        <f>1136.4+1376.4</f>
        <v>2512.8000000000002</v>
      </c>
      <c r="H17" t="s">
        <v>19</v>
      </c>
    </row>
    <row r="18" spans="6:8" x14ac:dyDescent="0.25">
      <c r="F18" t="s">
        <v>5</v>
      </c>
      <c r="G18" s="2">
        <v>0</v>
      </c>
      <c r="H18" t="s">
        <v>19</v>
      </c>
    </row>
    <row r="19" spans="6:8" x14ac:dyDescent="0.25">
      <c r="F19" t="s">
        <v>6</v>
      </c>
      <c r="G19" s="2">
        <f>G16+G18-G17</f>
        <v>15121.440000000002</v>
      </c>
    </row>
    <row r="20" spans="6:8" x14ac:dyDescent="0.25">
      <c r="F20" t="s">
        <v>42</v>
      </c>
      <c r="G20">
        <f>G14/Sheet2!K29</f>
        <v>19.628932077739936</v>
      </c>
    </row>
    <row r="22" spans="6:8" x14ac:dyDescent="0.25">
      <c r="F22" t="s">
        <v>7</v>
      </c>
      <c r="G22" s="2">
        <v>940</v>
      </c>
      <c r="H22" s="3">
        <f>$G$19/G22</f>
        <v>16.086638297872344</v>
      </c>
    </row>
    <row r="23" spans="6:8" x14ac:dyDescent="0.25">
      <c r="F23" t="s">
        <v>8</v>
      </c>
      <c r="G23">
        <f>G22*4</f>
        <v>3760</v>
      </c>
      <c r="H23" s="3">
        <f>$G$19/G23</f>
        <v>4.0216595744680861</v>
      </c>
    </row>
    <row r="24" spans="6:8" x14ac:dyDescent="0.25">
      <c r="F24" t="s">
        <v>9</v>
      </c>
      <c r="G24">
        <f>G23*1.1</f>
        <v>4136</v>
      </c>
      <c r="H24" s="3">
        <f>$G$19/G24</f>
        <v>3.6560541586073505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302D-E6E4-44F9-948E-28184C84453C}">
  <dimension ref="A1:EQ36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Q16" sqref="Q16"/>
    </sheetView>
  </sheetViews>
  <sheetFormatPr defaultRowHeight="15" x14ac:dyDescent="0.25"/>
  <cols>
    <col min="1" max="1" width="14.85546875" style="2" customWidth="1"/>
    <col min="2" max="16" width="9.140625" style="2"/>
    <col min="17" max="17" width="10.85546875" style="2" bestFit="1" customWidth="1"/>
    <col min="18" max="16384" width="9.140625" style="2"/>
  </cols>
  <sheetData>
    <row r="1" spans="1:121" x14ac:dyDescent="0.25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H1" s="5">
        <f>I1-1</f>
        <v>2022</v>
      </c>
      <c r="I1" s="5">
        <f>J1-1</f>
        <v>2023</v>
      </c>
      <c r="J1" s="5">
        <v>2024</v>
      </c>
      <c r="K1" s="5">
        <f>J1+1</f>
        <v>2025</v>
      </c>
      <c r="L1" s="5">
        <f t="shared" ref="L1:O1" si="0">K1+1</f>
        <v>2026</v>
      </c>
      <c r="M1" s="5">
        <f t="shared" si="0"/>
        <v>2027</v>
      </c>
      <c r="N1" s="5">
        <f t="shared" si="0"/>
        <v>2028</v>
      </c>
      <c r="O1" s="5">
        <f t="shared" si="0"/>
        <v>2029</v>
      </c>
    </row>
    <row r="2" spans="1:121" x14ac:dyDescent="0.25">
      <c r="A2" s="6" t="s">
        <v>10</v>
      </c>
      <c r="B2" s="6"/>
      <c r="C2" s="6"/>
      <c r="D2" s="6"/>
      <c r="E2" s="6">
        <v>1154</v>
      </c>
      <c r="F2" s="6">
        <v>850</v>
      </c>
      <c r="G2" s="6"/>
      <c r="H2" s="6">
        <v>2802</v>
      </c>
      <c r="I2" s="6">
        <v>3055</v>
      </c>
      <c r="J2" s="6">
        <v>3646</v>
      </c>
      <c r="K2" s="6">
        <f>J2*1.15</f>
        <v>4192.8999999999996</v>
      </c>
      <c r="L2" s="6">
        <f>K2*1.11</f>
        <v>4654.1189999999997</v>
      </c>
      <c r="M2" s="6">
        <f t="shared" ref="M2:O2" si="1">L2*1.11</f>
        <v>5166.0720899999997</v>
      </c>
      <c r="N2" s="6">
        <f t="shared" si="1"/>
        <v>5734.3400198999998</v>
      </c>
      <c r="O2" s="6">
        <f t="shared" si="1"/>
        <v>6365.1174220890007</v>
      </c>
    </row>
    <row r="3" spans="1:121" x14ac:dyDescent="0.25">
      <c r="A3" s="2" t="s">
        <v>29</v>
      </c>
      <c r="E3" s="2">
        <v>196.9</v>
      </c>
      <c r="F3" s="2">
        <f>E3*F19</f>
        <v>163.42699999999999</v>
      </c>
      <c r="I3" s="2">
        <v>688.76</v>
      </c>
      <c r="J3" s="2">
        <v>750.35500000000002</v>
      </c>
      <c r="K3" s="2">
        <f>K2*(1-K19)</f>
        <v>829.60833249999973</v>
      </c>
      <c r="L3" s="2">
        <f>L2*(1-L19)</f>
        <v>883.53271156574988</v>
      </c>
      <c r="M3" s="2">
        <f>M2*(1-M19)</f>
        <v>938.86780203636226</v>
      </c>
      <c r="N3" s="2">
        <f>N2*(1-N19)</f>
        <v>995.22129266396541</v>
      </c>
      <c r="O3" s="2">
        <f>O2*(1-O19)</f>
        <v>1052.0914169846819</v>
      </c>
    </row>
    <row r="4" spans="1:121" x14ac:dyDescent="0.25">
      <c r="A4" s="2" t="s">
        <v>35</v>
      </c>
      <c r="B4" s="2">
        <f>B2-B3</f>
        <v>0</v>
      </c>
      <c r="C4" s="2">
        <f>C2-C3</f>
        <v>0</v>
      </c>
      <c r="D4" s="2">
        <f>D2-D3</f>
        <v>0</v>
      </c>
      <c r="E4" s="2">
        <f>E2-E3</f>
        <v>957.1</v>
      </c>
      <c r="F4" s="2">
        <f>F2-F3</f>
        <v>686.57299999999998</v>
      </c>
      <c r="H4" s="2">
        <f>H2-H3</f>
        <v>2802</v>
      </c>
      <c r="I4" s="2">
        <f t="shared" ref="I4:O4" si="2">I2-I3</f>
        <v>2366.2399999999998</v>
      </c>
      <c r="J4" s="2">
        <f t="shared" si="2"/>
        <v>2895.645</v>
      </c>
      <c r="K4" s="2">
        <f t="shared" si="2"/>
        <v>3363.2916674999997</v>
      </c>
      <c r="L4" s="2">
        <f t="shared" si="2"/>
        <v>3770.5862884342496</v>
      </c>
      <c r="M4" s="2">
        <f t="shared" si="2"/>
        <v>4227.2042879636374</v>
      </c>
      <c r="N4" s="2">
        <f t="shared" si="2"/>
        <v>4739.1187272360348</v>
      </c>
      <c r="O4" s="2">
        <f t="shared" si="2"/>
        <v>5313.0260051043188</v>
      </c>
    </row>
    <row r="5" spans="1:121" x14ac:dyDescent="0.25">
      <c r="A5" s="2" t="s">
        <v>30</v>
      </c>
      <c r="E5" s="2">
        <v>320.7</v>
      </c>
      <c r="I5" s="2">
        <v>1068.4000000000001</v>
      </c>
      <c r="J5" s="2">
        <v>1240.5640000000001</v>
      </c>
      <c r="K5" s="2">
        <f>J5*(1+K18-0.05)</f>
        <v>1364.6204</v>
      </c>
      <c r="L5" s="2">
        <f t="shared" ref="L5:O5" si="3">K5*(1+L18-0.05)</f>
        <v>1446.4976240000001</v>
      </c>
      <c r="M5" s="2">
        <f t="shared" si="3"/>
        <v>1533.2874814400002</v>
      </c>
      <c r="N5" s="2">
        <f t="shared" si="3"/>
        <v>1625.2847303264002</v>
      </c>
      <c r="O5" s="2">
        <f t="shared" si="3"/>
        <v>1722.8018141459843</v>
      </c>
    </row>
    <row r="6" spans="1:121" x14ac:dyDescent="0.25">
      <c r="A6" s="2" t="s">
        <v>31</v>
      </c>
      <c r="E6" s="2">
        <v>271.10000000000002</v>
      </c>
      <c r="I6" s="2">
        <v>911.1</v>
      </c>
      <c r="J6" s="2">
        <v>1011.772</v>
      </c>
      <c r="K6" s="2">
        <f>J6*(1+K18-0.05)</f>
        <v>1112.9492</v>
      </c>
      <c r="L6" s="2">
        <f t="shared" ref="L6:O6" si="4">K6*(1+L18-0.05)</f>
        <v>1179.7261520000002</v>
      </c>
      <c r="M6" s="2">
        <f t="shared" si="4"/>
        <v>1250.5097211200002</v>
      </c>
      <c r="N6" s="2">
        <f t="shared" si="4"/>
        <v>1325.5403043872002</v>
      </c>
      <c r="O6" s="2">
        <f t="shared" si="4"/>
        <v>1405.0727226504323</v>
      </c>
    </row>
    <row r="7" spans="1:121" x14ac:dyDescent="0.25">
      <c r="A7" s="2" t="s">
        <v>32</v>
      </c>
      <c r="E7" s="2">
        <v>103.7</v>
      </c>
      <c r="I7" s="2">
        <v>512.4</v>
      </c>
      <c r="J7" s="2">
        <v>463.65800000000002</v>
      </c>
      <c r="K7" s="2">
        <f>J7*1.05</f>
        <v>486.84090000000003</v>
      </c>
      <c r="L7" s="2">
        <f t="shared" ref="L7:O7" si="5">K7*1.05</f>
        <v>511.18294500000007</v>
      </c>
      <c r="M7" s="2">
        <f t="shared" si="5"/>
        <v>536.74209225000016</v>
      </c>
      <c r="N7" s="2">
        <f t="shared" si="5"/>
        <v>563.57919686250023</v>
      </c>
      <c r="O7" s="2">
        <f t="shared" si="5"/>
        <v>591.75815670562531</v>
      </c>
    </row>
    <row r="8" spans="1:121" x14ac:dyDescent="0.25">
      <c r="A8" s="2" t="s">
        <v>33</v>
      </c>
      <c r="B8" s="2">
        <f>SUM(B5:B7)</f>
        <v>0</v>
      </c>
      <c r="C8" s="2">
        <f t="shared" ref="C8:H8" si="6">SUM(C5:C7)</f>
        <v>0</v>
      </c>
      <c r="D8" s="2">
        <f t="shared" si="6"/>
        <v>0</v>
      </c>
      <c r="E8" s="2">
        <f t="shared" si="6"/>
        <v>695.5</v>
      </c>
      <c r="F8" s="2">
        <f t="shared" si="6"/>
        <v>0</v>
      </c>
      <c r="H8" s="2">
        <f t="shared" si="6"/>
        <v>0</v>
      </c>
      <c r="I8" s="2">
        <f t="shared" ref="I8" si="7">SUM(I5:I7)</f>
        <v>2491.9</v>
      </c>
      <c r="J8" s="2">
        <f t="shared" ref="J8" si="8">SUM(J5:J7)</f>
        <v>2715.9940000000001</v>
      </c>
      <c r="K8" s="2">
        <f t="shared" ref="K8" si="9">SUM(K5:K7)</f>
        <v>2964.4105</v>
      </c>
      <c r="L8" s="2">
        <f t="shared" ref="L8" si="10">SUM(L5:L7)</f>
        <v>3137.4067210000003</v>
      </c>
      <c r="M8" s="2">
        <f t="shared" ref="M8" si="11">SUM(M5:M7)</f>
        <v>3320.5392948100002</v>
      </c>
      <c r="N8" s="2">
        <f t="shared" ref="N8" si="12">SUM(N5:N7)</f>
        <v>3514.4042315761008</v>
      </c>
      <c r="O8" s="2">
        <f t="shared" ref="O8" si="13">SUM(O5:O7)</f>
        <v>3719.632693502042</v>
      </c>
    </row>
    <row r="9" spans="1:121" x14ac:dyDescent="0.25">
      <c r="A9" s="2" t="s">
        <v>36</v>
      </c>
      <c r="E9" s="2">
        <v>28.6</v>
      </c>
      <c r="I9" s="2">
        <v>105.4</v>
      </c>
      <c r="J9" s="2">
        <v>127</v>
      </c>
      <c r="K9" s="2">
        <f>J30*$R$17</f>
        <v>150.768</v>
      </c>
      <c r="L9" s="2">
        <f>K30*$R$17</f>
        <v>177.48094954050001</v>
      </c>
      <c r="M9" s="2">
        <f>L30*$R$17</f>
        <v>216.87905066547282</v>
      </c>
      <c r="N9" s="2">
        <f>M30*$R$17</f>
        <v>271.48329119508156</v>
      </c>
      <c r="O9" s="2">
        <f>N30*$R$17</f>
        <v>344.19850363623533</v>
      </c>
    </row>
    <row r="10" spans="1:121" x14ac:dyDescent="0.25">
      <c r="A10" s="2" t="s">
        <v>34</v>
      </c>
      <c r="E10" s="2">
        <v>-13.3</v>
      </c>
      <c r="I10" s="2">
        <v>3.8</v>
      </c>
      <c r="J10" s="2">
        <v>-19.215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21" x14ac:dyDescent="0.25">
      <c r="A11" s="2" t="s">
        <v>25</v>
      </c>
      <c r="B11" s="2">
        <f>B4-B8+B10+B9</f>
        <v>0</v>
      </c>
      <c r="C11" s="2">
        <f t="shared" ref="C11:D11" si="14">C4-C8+C10+C9</f>
        <v>0</v>
      </c>
      <c r="D11" s="2">
        <f t="shared" si="14"/>
        <v>0</v>
      </c>
      <c r="E11" s="2">
        <f>E4-E8+E10+E9</f>
        <v>276.90000000000003</v>
      </c>
      <c r="F11" s="2">
        <f>F4-F8+F10+F9</f>
        <v>686.57299999999998</v>
      </c>
      <c r="H11" s="2">
        <f t="shared" ref="H11:M11" si="15">H4-H8+H10+H9</f>
        <v>2802</v>
      </c>
      <c r="I11" s="2">
        <f t="shared" si="15"/>
        <v>-16.460000000000306</v>
      </c>
      <c r="J11" s="2">
        <f t="shared" si="15"/>
        <v>287.43599999999981</v>
      </c>
      <c r="K11" s="2">
        <f t="shared" si="15"/>
        <v>549.64916749999975</v>
      </c>
      <c r="L11" s="2">
        <f t="shared" si="15"/>
        <v>810.66051697474927</v>
      </c>
      <c r="M11" s="2">
        <f t="shared" si="15"/>
        <v>1123.5440438191099</v>
      </c>
      <c r="N11" s="2">
        <f t="shared" ref="N11:O11" si="16">N4-N8+N10+N9</f>
        <v>1496.1977868550157</v>
      </c>
      <c r="O11" s="2">
        <f t="shared" si="16"/>
        <v>1937.591815238512</v>
      </c>
    </row>
    <row r="12" spans="1:121" x14ac:dyDescent="0.25">
      <c r="A12" s="2" t="s">
        <v>26</v>
      </c>
      <c r="E12" s="2">
        <v>-1570.6</v>
      </c>
      <c r="I12" s="2">
        <v>19.170000000000002</v>
      </c>
      <c r="J12" s="2">
        <v>-1574.501</v>
      </c>
      <c r="K12" s="2">
        <f>K11*K23</f>
        <v>104.43334182499996</v>
      </c>
      <c r="L12" s="2">
        <f>L11*L23</f>
        <v>154.02549822520237</v>
      </c>
      <c r="M12" s="2">
        <f>M11*M23</f>
        <v>213.47336832563087</v>
      </c>
      <c r="N12" s="2">
        <f>N11*N23</f>
        <v>284.27757950245297</v>
      </c>
      <c r="O12" s="2">
        <f>O11*O23</f>
        <v>368.14244489531728</v>
      </c>
    </row>
    <row r="13" spans="1:121" s="6" customFormat="1" x14ac:dyDescent="0.25">
      <c r="A13" s="6" t="s">
        <v>11</v>
      </c>
      <c r="B13" s="6">
        <f>B11-B12</f>
        <v>0</v>
      </c>
      <c r="C13" s="6">
        <f>C11-C12</f>
        <v>0</v>
      </c>
      <c r="D13" s="6">
        <f>D11-D12</f>
        <v>0</v>
      </c>
      <c r="E13" s="6">
        <f>E11-E12</f>
        <v>1847.5</v>
      </c>
      <c r="F13" s="6">
        <f>F11-F12</f>
        <v>686.57299999999998</v>
      </c>
      <c r="H13" s="6">
        <v>-96</v>
      </c>
      <c r="I13" s="6">
        <v>-35</v>
      </c>
      <c r="J13" s="6">
        <f t="shared" ref="J13:O13" si="17">J11-J12</f>
        <v>1861.9369999999999</v>
      </c>
      <c r="K13" s="6">
        <f t="shared" si="17"/>
        <v>445.21582567499979</v>
      </c>
      <c r="L13" s="6">
        <f t="shared" si="17"/>
        <v>656.63501874954693</v>
      </c>
      <c r="M13" s="6">
        <f t="shared" si="17"/>
        <v>910.07067549347903</v>
      </c>
      <c r="N13" s="6">
        <f t="shared" si="17"/>
        <v>1211.9202073525628</v>
      </c>
      <c r="O13" s="6">
        <f t="shared" si="17"/>
        <v>1569.4493703431947</v>
      </c>
      <c r="P13" s="6">
        <f>O13*(1+$R$18)</f>
        <v>1585.1438640466267</v>
      </c>
      <c r="Q13" s="6">
        <f>P13*(1+$R$18)</f>
        <v>1600.995302687093</v>
      </c>
      <c r="R13" s="6">
        <f>Q13*(1+$R$18)</f>
        <v>1617.0052557139641</v>
      </c>
      <c r="S13" s="6">
        <f>R13*(1+$R$18)</f>
        <v>1633.1753082711036</v>
      </c>
      <c r="T13" s="6">
        <f>S13*(1+$R$18)</f>
        <v>1649.5070613538146</v>
      </c>
      <c r="U13" s="6">
        <f>T13*(1+$R$18)</f>
        <v>1666.0021319673529</v>
      </c>
      <c r="V13" s="6">
        <f>U13*(1+$R$18)</f>
        <v>1682.6621532870263</v>
      </c>
      <c r="W13" s="6">
        <f>V13*(1+$R$18)</f>
        <v>1699.4887748198967</v>
      </c>
      <c r="X13" s="6">
        <f>W13*(1+$R$18)</f>
        <v>1716.4836625680957</v>
      </c>
      <c r="Y13" s="6">
        <f>X13*(1+$R$18)</f>
        <v>1733.6484991937766</v>
      </c>
      <c r="Z13" s="6">
        <f>Y13*(1+$R$18)</f>
        <v>1750.9849841857144</v>
      </c>
      <c r="AA13" s="6">
        <f>Z13*(1+$R$18)</f>
        <v>1768.4948340275716</v>
      </c>
      <c r="AB13" s="6">
        <f>AA13*(1+$R$18)</f>
        <v>1786.1797823678473</v>
      </c>
      <c r="AC13" s="6">
        <f>AB13*(1+$R$18)</f>
        <v>1804.0415801915258</v>
      </c>
      <c r="AD13" s="6">
        <f>AC13*(1+$R$18)</f>
        <v>1822.0819959934411</v>
      </c>
      <c r="AE13" s="6">
        <f>AD13*(1+$R$18)</f>
        <v>1840.3028159533756</v>
      </c>
      <c r="AF13" s="6">
        <f>AE13*(1+$R$18)</f>
        <v>1858.7058441129093</v>
      </c>
      <c r="AG13" s="6">
        <f>AF13*(1+$R$18)</f>
        <v>1877.2929025540384</v>
      </c>
      <c r="AH13" s="6">
        <f>AG13*(1+$R$18)</f>
        <v>1896.0658315795788</v>
      </c>
      <c r="AI13" s="6">
        <f>AH13*(1+$R$18)</f>
        <v>1915.0264898953747</v>
      </c>
      <c r="AJ13" s="6">
        <f>AI13*(1+$R$18)</f>
        <v>1934.1767547943284</v>
      </c>
      <c r="AK13" s="6">
        <f>AJ13*(1+$R$18)</f>
        <v>1953.5185223422718</v>
      </c>
      <c r="AL13" s="6">
        <f>AK13*(1+$R$18)</f>
        <v>1973.0537075656946</v>
      </c>
      <c r="AM13" s="6">
        <f>AL13*(1+$R$18)</f>
        <v>1992.7842446413515</v>
      </c>
      <c r="AN13" s="6">
        <f>AM13*(1+$R$18)</f>
        <v>2012.712087087765</v>
      </c>
      <c r="AO13" s="6">
        <f>AN13*(1+$R$18)</f>
        <v>2032.8392079586426</v>
      </c>
      <c r="AP13" s="6">
        <f>AO13*(1+$R$18)</f>
        <v>2053.167600038229</v>
      </c>
      <c r="AQ13" s="6">
        <f>AP13*(1+$R$18)</f>
        <v>2073.6992760386115</v>
      </c>
      <c r="AR13" s="6">
        <f>AQ13*(1+$R$18)</f>
        <v>2094.4362687989978</v>
      </c>
      <c r="AS13" s="6">
        <f>AR13*(1+$R$18)</f>
        <v>2115.380631486988</v>
      </c>
      <c r="AT13" s="6">
        <f>AS13*(1+$R$18)</f>
        <v>2136.5344378018581</v>
      </c>
      <c r="AU13" s="6">
        <f>AT13*(1+$R$18)</f>
        <v>2157.8997821798766</v>
      </c>
      <c r="AV13" s="6">
        <f>AU13*(1+$R$18)</f>
        <v>2179.4787800016752</v>
      </c>
      <c r="AW13" s="6">
        <f>AV13*(1+$R$18)</f>
        <v>2201.273567801692</v>
      </c>
      <c r="AX13" s="6">
        <f>AW13*(1+$R$18)</f>
        <v>2223.2863034797087</v>
      </c>
      <c r="AY13" s="6">
        <f>AX13*(1+$R$18)</f>
        <v>2245.5191665145057</v>
      </c>
      <c r="AZ13" s="6">
        <f>AY13*(1+$R$18)</f>
        <v>2267.9743581796506</v>
      </c>
      <c r="BA13" s="6">
        <f>AZ13*(1+$R$18)</f>
        <v>2290.6541017614472</v>
      </c>
      <c r="BB13" s="6">
        <f>BA13*(1+$R$18)</f>
        <v>2313.5606427790617</v>
      </c>
      <c r="BC13" s="6">
        <f>BB13*(1+$R$18)</f>
        <v>2336.6962492068524</v>
      </c>
      <c r="BD13" s="6">
        <f>BC13*(1+$R$18)</f>
        <v>2360.0632116989209</v>
      </c>
      <c r="BE13" s="6">
        <f>BD13*(1+$R$18)</f>
        <v>2383.6638438159102</v>
      </c>
      <c r="BF13" s="6">
        <f>BE13*(1+$R$18)</f>
        <v>2407.5004822540695</v>
      </c>
      <c r="BG13" s="6">
        <f>BF13*(1+$R$18)</f>
        <v>2431.5754870766104</v>
      </c>
      <c r="BH13" s="6">
        <f>BG13*(1+$R$18)</f>
        <v>2455.8912419473768</v>
      </c>
      <c r="BI13" s="6">
        <f>BH13*(1+$R$18)</f>
        <v>2480.4501543668507</v>
      </c>
      <c r="BJ13" s="6">
        <f>BI13*(1+$R$18)</f>
        <v>2505.2546559105194</v>
      </c>
      <c r="BK13" s="6">
        <f>BJ13*(1+$R$18)</f>
        <v>2530.3072024696248</v>
      </c>
      <c r="BL13" s="6">
        <f>BK13*(1+$R$18)</f>
        <v>2555.6102744943209</v>
      </c>
      <c r="BM13" s="6">
        <f>BL13*(1+$R$18)</f>
        <v>2581.166377239264</v>
      </c>
      <c r="BN13" s="6">
        <f>BM13*(1+$R$18)</f>
        <v>2606.9780410116568</v>
      </c>
      <c r="BO13" s="6">
        <f>BN13*(1+$R$18)</f>
        <v>2633.0478214217733</v>
      </c>
      <c r="BP13" s="6">
        <f>BO13*(1+$R$18)</f>
        <v>2659.378299635991</v>
      </c>
      <c r="BQ13" s="6">
        <f>BP13*(1+$R$18)</f>
        <v>2685.972082632351</v>
      </c>
      <c r="BR13" s="6">
        <f>BQ13*(1+$R$18)</f>
        <v>2712.8318034586746</v>
      </c>
      <c r="BS13" s="6">
        <f>BR13*(1+$R$18)</f>
        <v>2739.9601214932613</v>
      </c>
      <c r="BT13" s="6">
        <f>BS13*(1+$R$18)</f>
        <v>2767.3597227081941</v>
      </c>
      <c r="BU13" s="6">
        <f>BT13*(1+$R$18)</f>
        <v>2795.0333199352763</v>
      </c>
      <c r="BV13" s="6">
        <f>BU13*(1+$R$18)</f>
        <v>2822.9836531346291</v>
      </c>
      <c r="BW13" s="6">
        <f>BV13*(1+$R$18)</f>
        <v>2851.2134896659754</v>
      </c>
      <c r="BX13" s="6">
        <f>BW13*(1+$R$18)</f>
        <v>2879.7256245626354</v>
      </c>
      <c r="BY13" s="6">
        <f>BX13*(1+$R$18)</f>
        <v>2908.5228808082616</v>
      </c>
      <c r="BZ13" s="6">
        <f>BY13*(1+$R$18)</f>
        <v>2937.6081096163443</v>
      </c>
      <c r="CA13" s="6">
        <f>BZ13*(1+$R$18)</f>
        <v>2966.9841907125078</v>
      </c>
      <c r="CB13" s="6">
        <f>CA13*(1+$R$18)</f>
        <v>2996.6540326196327</v>
      </c>
      <c r="CC13" s="6">
        <f>CB13*(1+$R$18)</f>
        <v>3026.6205729458293</v>
      </c>
      <c r="CD13" s="6">
        <f>CC13*(1+$R$18)</f>
        <v>3056.8867786752876</v>
      </c>
      <c r="CE13" s="6">
        <f>CD13*(1+$R$18)</f>
        <v>3087.4556464620405</v>
      </c>
      <c r="CF13" s="6">
        <f>CE13*(1+$R$18)</f>
        <v>3118.3302029266611</v>
      </c>
      <c r="CG13" s="6">
        <f>CF13*(1+$R$18)</f>
        <v>3149.5135049559276</v>
      </c>
      <c r="CH13" s="6">
        <f>CG13*(1+$R$18)</f>
        <v>3181.008640005487</v>
      </c>
      <c r="CI13" s="6">
        <f>CH13*(1+$R$18)</f>
        <v>3212.8187264055418</v>
      </c>
      <c r="CJ13" s="6">
        <f>CI13*(1+$R$18)</f>
        <v>3244.9469136695975</v>
      </c>
      <c r="CK13" s="6">
        <f>CJ13*(1+$R$18)</f>
        <v>3277.3963828062933</v>
      </c>
      <c r="CL13" s="6">
        <f>CK13*(1+$R$18)</f>
        <v>3310.1703466343565</v>
      </c>
      <c r="CM13" s="6">
        <f>CL13*(1+$R$18)</f>
        <v>3343.2720501007002</v>
      </c>
      <c r="CN13" s="6">
        <f>CM13*(1+$R$18)</f>
        <v>3376.7047706017074</v>
      </c>
      <c r="CO13" s="6">
        <f>CN13*(1+$R$18)</f>
        <v>3410.4718183077243</v>
      </c>
      <c r="CP13" s="6">
        <f>CO13*(1+$R$18)</f>
        <v>3444.5765364908016</v>
      </c>
      <c r="CQ13" s="6">
        <f>CP13*(1+$R$18)</f>
        <v>3479.0223018557094</v>
      </c>
      <c r="CR13" s="6">
        <f>CQ13*(1+$R$18)</f>
        <v>3513.8125248742667</v>
      </c>
      <c r="CS13" s="6">
        <f>CR13*(1+$R$18)</f>
        <v>3548.9506501230094</v>
      </c>
      <c r="CT13" s="6">
        <f>CS13*(1+$R$18)</f>
        <v>3584.4401566242395</v>
      </c>
      <c r="CU13" s="6">
        <f>CT13*(1+$R$18)</f>
        <v>3620.2845581904821</v>
      </c>
      <c r="CV13" s="6">
        <f>CU13*(1+$R$18)</f>
        <v>3656.4874037723871</v>
      </c>
      <c r="CW13" s="6">
        <f>CV13*(1+$R$18)</f>
        <v>3693.0522778101108</v>
      </c>
      <c r="CX13" s="6">
        <f>CW13*(1+$R$18)</f>
        <v>3729.9828005882118</v>
      </c>
      <c r="CY13" s="6">
        <f>CX13*(1+$R$18)</f>
        <v>3767.2826285940941</v>
      </c>
      <c r="CZ13" s="6">
        <f>CY13*(1+$R$18)</f>
        <v>3804.9554548800352</v>
      </c>
      <c r="DA13" s="6">
        <f>CZ13*(1+$R$18)</f>
        <v>3843.0050094288354</v>
      </c>
      <c r="DB13" s="6">
        <f>DA13*(1+$R$18)</f>
        <v>3881.4350595231235</v>
      </c>
      <c r="DC13" s="6">
        <f>DB13*(1+$R$18)</f>
        <v>3920.2494101183547</v>
      </c>
      <c r="DD13" s="6">
        <f>DC13*(1+$R$18)</f>
        <v>3959.4519042195384</v>
      </c>
      <c r="DE13" s="6">
        <f>DD13*(1+$R$18)</f>
        <v>3999.0464232617337</v>
      </c>
      <c r="DF13" s="6">
        <f>DE13*(1+$R$18)</f>
        <v>4039.036887494351</v>
      </c>
      <c r="DG13" s="6">
        <f>DF13*(1+$R$18)</f>
        <v>4079.4272563692948</v>
      </c>
      <c r="DH13" s="6">
        <f>DG13*(1+$R$18)</f>
        <v>4120.2215289329879</v>
      </c>
      <c r="DI13" s="6">
        <f>DH13*(1+$R$18)</f>
        <v>4161.4237442223175</v>
      </c>
      <c r="DJ13" s="6">
        <f>DI13*(1+$R$18)</f>
        <v>4203.0379816645409</v>
      </c>
      <c r="DK13" s="6">
        <f>DJ13*(1+$R$18)</f>
        <v>4245.068361481186</v>
      </c>
      <c r="DL13" s="6">
        <f>DK13*(1+$R$18)</f>
        <v>4287.5190450959981</v>
      </c>
      <c r="DM13" s="6">
        <f>DL13*(1+$R$18)</f>
        <v>4330.394235546958</v>
      </c>
      <c r="DN13" s="6">
        <f>DM13*(1+$R$18)</f>
        <v>4373.6981779024272</v>
      </c>
      <c r="DO13" s="6">
        <f>DN13*(1+$R$18)</f>
        <v>4417.4351596814513</v>
      </c>
      <c r="DP13" s="6">
        <f>DO13*(1+$R$18)</f>
        <v>4461.6095112782659</v>
      </c>
      <c r="DQ13" s="6">
        <f>DP13*(1+$R$18)</f>
        <v>4506.225606391049</v>
      </c>
    </row>
    <row r="14" spans="1:121" s="6" customFormat="1" x14ac:dyDescent="0.25">
      <c r="A14" s="2" t="s">
        <v>2</v>
      </c>
      <c r="J14" s="2">
        <v>678.24</v>
      </c>
      <c r="K14" s="2">
        <v>678.24</v>
      </c>
      <c r="L14" s="2">
        <v>678.24</v>
      </c>
      <c r="M14" s="2">
        <v>678.24</v>
      </c>
      <c r="N14" s="2">
        <v>678.24</v>
      </c>
      <c r="O14" s="2">
        <v>678.24</v>
      </c>
    </row>
    <row r="15" spans="1:121" s="6" customFormat="1" x14ac:dyDescent="0.25">
      <c r="A15" s="2" t="s">
        <v>41</v>
      </c>
      <c r="J15" s="9">
        <f>J13/J14</f>
        <v>2.7452479948100965</v>
      </c>
      <c r="K15" s="9">
        <f t="shared" ref="K15:O15" si="18">K13/K14</f>
        <v>0.65642814589968124</v>
      </c>
      <c r="L15" s="9">
        <f t="shared" si="18"/>
        <v>0.96814552186474834</v>
      </c>
      <c r="M15" s="9">
        <f t="shared" si="18"/>
        <v>1.3418121542425676</v>
      </c>
      <c r="N15" s="9">
        <f t="shared" si="18"/>
        <v>1.7868604142376781</v>
      </c>
      <c r="O15" s="9">
        <f t="shared" si="18"/>
        <v>2.3140029640587323</v>
      </c>
    </row>
    <row r="16" spans="1:121" s="6" customFormat="1" x14ac:dyDescent="0.25"/>
    <row r="17" spans="1:147" x14ac:dyDescent="0.25">
      <c r="A17" s="2" t="s">
        <v>39</v>
      </c>
      <c r="H17" s="4">
        <f t="shared" ref="H17:O17" si="19">H5/H2</f>
        <v>0</v>
      </c>
      <c r="I17" s="4">
        <f t="shared" si="19"/>
        <v>0.34972176759410806</v>
      </c>
      <c r="J17" s="4">
        <f t="shared" si="19"/>
        <v>0.34025342841470108</v>
      </c>
      <c r="K17" s="4">
        <f t="shared" si="19"/>
        <v>0.32545980109232275</v>
      </c>
      <c r="L17" s="4">
        <f t="shared" si="19"/>
        <v>0.3107994496917677</v>
      </c>
      <c r="M17" s="4">
        <f t="shared" si="19"/>
        <v>0.29679947448042682</v>
      </c>
      <c r="N17" s="4">
        <f t="shared" si="19"/>
        <v>0.2834301287831103</v>
      </c>
      <c r="O17" s="4">
        <f t="shared" si="19"/>
        <v>0.27066300586495212</v>
      </c>
      <c r="Q17" s="2" t="s">
        <v>40</v>
      </c>
      <c r="R17" s="4">
        <v>0.06</v>
      </c>
    </row>
    <row r="18" spans="1:147" x14ac:dyDescent="0.25">
      <c r="A18" s="6" t="s">
        <v>12</v>
      </c>
      <c r="B18" s="6"/>
      <c r="C18" s="6"/>
      <c r="D18" s="6"/>
      <c r="E18" s="6"/>
      <c r="F18" s="6"/>
      <c r="G18" s="6"/>
      <c r="H18" s="6"/>
      <c r="I18" s="7">
        <f t="shared" ref="I18:O18" si="20">I2/H2-1</f>
        <v>9.0292648108494022E-2</v>
      </c>
      <c r="J18" s="7">
        <f t="shared" si="20"/>
        <v>0.1934533551554829</v>
      </c>
      <c r="K18" s="7">
        <f t="shared" si="20"/>
        <v>0.14999999999999991</v>
      </c>
      <c r="L18" s="7">
        <f t="shared" si="20"/>
        <v>0.1100000000000001</v>
      </c>
      <c r="M18" s="7">
        <f t="shared" si="20"/>
        <v>0.1100000000000001</v>
      </c>
      <c r="N18" s="7">
        <f t="shared" si="20"/>
        <v>0.1100000000000001</v>
      </c>
      <c r="O18" s="7">
        <f t="shared" si="20"/>
        <v>0.1100000000000001</v>
      </c>
      <c r="Q18" s="2" t="s">
        <v>21</v>
      </c>
      <c r="R18" s="4">
        <v>0.01</v>
      </c>
    </row>
    <row r="19" spans="1:147" x14ac:dyDescent="0.25">
      <c r="A19" s="2" t="s">
        <v>13</v>
      </c>
      <c r="B19" s="4" t="e">
        <f>B4/B2</f>
        <v>#DIV/0!</v>
      </c>
      <c r="C19" s="4" t="e">
        <f>C4/C2</f>
        <v>#DIV/0!</v>
      </c>
      <c r="D19" s="4" t="e">
        <f>D4/D2</f>
        <v>#DIV/0!</v>
      </c>
      <c r="E19" s="4">
        <f>E4/E2</f>
        <v>0.82937608318890821</v>
      </c>
      <c r="F19" s="4">
        <v>0.83</v>
      </c>
      <c r="H19" s="4">
        <f>H4/H2</f>
        <v>1</v>
      </c>
      <c r="I19" s="4">
        <f>I4/I2</f>
        <v>0.77454664484451707</v>
      </c>
      <c r="J19" s="4">
        <f>J4/J2</f>
        <v>0.79419775095995615</v>
      </c>
      <c r="K19" s="4">
        <f>J19*1.01</f>
        <v>0.80213972846955572</v>
      </c>
      <c r="L19" s="4">
        <f t="shared" ref="L19:O19" si="21">K19*1.01</f>
        <v>0.81016112575425125</v>
      </c>
      <c r="M19" s="4">
        <f t="shared" si="21"/>
        <v>0.81826273701179375</v>
      </c>
      <c r="N19" s="4">
        <f t="shared" si="21"/>
        <v>0.82644536438191174</v>
      </c>
      <c r="O19" s="4">
        <f t="shared" si="21"/>
        <v>0.83470981802573085</v>
      </c>
      <c r="Q19" s="2" t="s">
        <v>22</v>
      </c>
      <c r="R19" s="8">
        <v>0.08</v>
      </c>
    </row>
    <row r="20" spans="1:147" x14ac:dyDescent="0.25">
      <c r="A20" s="2" t="s">
        <v>14</v>
      </c>
      <c r="E20" s="4">
        <f>E13/E2</f>
        <v>1.600953206239168</v>
      </c>
      <c r="F20" s="4">
        <f>F13/F2</f>
        <v>0.80773294117647054</v>
      </c>
      <c r="H20" s="4">
        <f t="shared" ref="H20:O20" si="22">H13/H2</f>
        <v>-3.4261241970021415E-2</v>
      </c>
      <c r="I20" s="4">
        <f t="shared" si="22"/>
        <v>-1.1456628477905073E-2</v>
      </c>
      <c r="J20" s="4">
        <f t="shared" si="22"/>
        <v>0.51067937465715851</v>
      </c>
      <c r="K20" s="4">
        <f t="shared" si="22"/>
        <v>0.10618326830475323</v>
      </c>
      <c r="L20" s="4">
        <f t="shared" si="22"/>
        <v>0.14108685634156476</v>
      </c>
      <c r="M20" s="4">
        <f t="shared" si="22"/>
        <v>0.17616298410839232</v>
      </c>
      <c r="N20" s="4">
        <f t="shared" si="22"/>
        <v>0.2113443226503505</v>
      </c>
      <c r="O20" s="4">
        <f t="shared" si="22"/>
        <v>0.24657037196151349</v>
      </c>
      <c r="Q20" s="2" t="s">
        <v>23</v>
      </c>
      <c r="R20" s="2">
        <f>NPV(R19,K27:EQ27)+Sheet1!G17-Sheet1!G18</f>
        <v>23660.862902947098</v>
      </c>
    </row>
    <row r="21" spans="1:147" x14ac:dyDescent="0.25">
      <c r="A21" s="2" t="s">
        <v>43</v>
      </c>
      <c r="E21" s="4"/>
      <c r="F21" s="4"/>
      <c r="H21" s="4">
        <f>H27/H2</f>
        <v>0.12169878658101356</v>
      </c>
      <c r="I21" s="4">
        <f>I27/I2</f>
        <v>0.18854337152209494</v>
      </c>
      <c r="J21" s="4">
        <f>J27/J2</f>
        <v>0.20405924300603401</v>
      </c>
      <c r="K21" s="4">
        <f>J21*1.05</f>
        <v>0.21426220515633571</v>
      </c>
      <c r="L21" s="4">
        <f t="shared" ref="L21:O21" si="23">K21*1.05</f>
        <v>0.2249753154141525</v>
      </c>
      <c r="M21" s="4">
        <f t="shared" si="23"/>
        <v>0.23622408118486013</v>
      </c>
      <c r="N21" s="4">
        <f t="shared" si="23"/>
        <v>0.24803528524410315</v>
      </c>
      <c r="O21" s="4">
        <f t="shared" si="23"/>
        <v>0.2604370495063083</v>
      </c>
      <c r="Q21" s="2" t="s">
        <v>1</v>
      </c>
      <c r="R21" s="2">
        <f>R20/Sheet1!G15</f>
        <v>34.885678967544081</v>
      </c>
    </row>
    <row r="22" spans="1:147" x14ac:dyDescent="0.25">
      <c r="H22" s="4"/>
      <c r="I22" s="4"/>
      <c r="J22" s="4"/>
      <c r="K22" s="4"/>
      <c r="L22" s="4"/>
      <c r="M22" s="4"/>
      <c r="N22" s="4"/>
      <c r="O22" s="4"/>
      <c r="Q22" s="2" t="s">
        <v>24</v>
      </c>
      <c r="R22" s="4">
        <f>R21/Sheet1!G14-1</f>
        <v>0.3417568833670801</v>
      </c>
    </row>
    <row r="23" spans="1:147" x14ac:dyDescent="0.25">
      <c r="A23" s="2" t="s">
        <v>27</v>
      </c>
      <c r="E23" s="4">
        <v>0.21</v>
      </c>
      <c r="F23" s="4">
        <v>0.21</v>
      </c>
      <c r="H23" s="4">
        <f>H12/H11</f>
        <v>0</v>
      </c>
      <c r="I23" s="4">
        <f>I12/I11</f>
        <v>-1.1646415552855192</v>
      </c>
      <c r="J23" s="4">
        <f>J12/J11</f>
        <v>-5.4777446109742725</v>
      </c>
      <c r="K23" s="4">
        <v>0.19</v>
      </c>
      <c r="L23" s="4">
        <v>0.19</v>
      </c>
      <c r="M23" s="4">
        <v>0.19</v>
      </c>
      <c r="N23" s="4">
        <v>0.19</v>
      </c>
      <c r="O23" s="4">
        <v>0.19</v>
      </c>
    </row>
    <row r="24" spans="1:147" x14ac:dyDescent="0.25">
      <c r="H24" s="4"/>
      <c r="I24" s="4"/>
      <c r="J24" s="4"/>
      <c r="K24" s="4"/>
      <c r="L24" s="4"/>
      <c r="M24" s="4"/>
      <c r="N24" s="4"/>
      <c r="O24" s="4"/>
    </row>
    <row r="25" spans="1:147" x14ac:dyDescent="0.25">
      <c r="A25" s="2" t="s">
        <v>15</v>
      </c>
      <c r="H25" s="2">
        <v>469</v>
      </c>
      <c r="I25" s="2">
        <v>613</v>
      </c>
      <c r="J25" s="2">
        <v>965</v>
      </c>
    </row>
    <row r="26" spans="1:147" x14ac:dyDescent="0.25">
      <c r="A26" s="2" t="s">
        <v>37</v>
      </c>
      <c r="H26" s="2">
        <v>128</v>
      </c>
      <c r="I26" s="2">
        <v>37</v>
      </c>
      <c r="J26" s="2">
        <v>221</v>
      </c>
    </row>
    <row r="27" spans="1:147" x14ac:dyDescent="0.25">
      <c r="A27" s="6" t="s">
        <v>7</v>
      </c>
      <c r="B27" s="6">
        <f>B25-B26</f>
        <v>0</v>
      </c>
      <c r="C27" s="6">
        <f>C25-C26</f>
        <v>0</v>
      </c>
      <c r="D27" s="6">
        <f>D25-D26</f>
        <v>0</v>
      </c>
      <c r="E27" s="6">
        <f>E25-E26</f>
        <v>0</v>
      </c>
      <c r="F27" s="6">
        <f>F25-F26</f>
        <v>0</v>
      </c>
      <c r="G27" s="6"/>
      <c r="H27" s="6">
        <f>H25-H26</f>
        <v>341</v>
      </c>
      <c r="I27" s="6">
        <f>I25-I26</f>
        <v>576</v>
      </c>
      <c r="J27" s="6">
        <f>J25-J26</f>
        <v>744</v>
      </c>
      <c r="K27" s="6">
        <f>K21*K2</f>
        <v>898.37999999999988</v>
      </c>
      <c r="L27" s="6">
        <f t="shared" ref="L27:O27" si="24">L21*L2</f>
        <v>1047.0618899999999</v>
      </c>
      <c r="M27" s="6">
        <f t="shared" si="24"/>
        <v>1220.3506327949999</v>
      </c>
      <c r="N27" s="6">
        <f t="shared" si="24"/>
        <v>1422.3186625225726</v>
      </c>
      <c r="O27" s="6">
        <f t="shared" si="24"/>
        <v>1657.7124011700585</v>
      </c>
      <c r="P27" s="6">
        <f>O27*(1+$R$18)</f>
        <v>1674.289525181759</v>
      </c>
      <c r="Q27" s="6">
        <f>P27*(1+$R$18)</f>
        <v>1691.0324204335766</v>
      </c>
      <c r="R27" s="6">
        <f>Q27*(1+$R$18)</f>
        <v>1707.9427446379125</v>
      </c>
      <c r="S27" s="6">
        <f>R27*(1+$R$18)</f>
        <v>1725.0221720842917</v>
      </c>
      <c r="T27" s="6">
        <f>S27*(1+$R$18)</f>
        <v>1742.2723938051347</v>
      </c>
      <c r="U27" s="6">
        <f>T27*(1+$R$18)</f>
        <v>1759.6951177431861</v>
      </c>
      <c r="V27" s="6">
        <f>U27*(1+$R$18)</f>
        <v>1777.292068920618</v>
      </c>
      <c r="W27" s="6">
        <f>V27*(1+$R$18)</f>
        <v>1795.0649896098241</v>
      </c>
      <c r="X27" s="6">
        <f>W27*(1+$R$18)</f>
        <v>1813.0156395059223</v>
      </c>
      <c r="Y27" s="6">
        <f>X27*(1+$R$18)</f>
        <v>1831.1457959009815</v>
      </c>
      <c r="Z27" s="6">
        <f>Y27*(1+$R$18)</f>
        <v>1849.4572538599914</v>
      </c>
      <c r="AA27" s="6">
        <f>Z27*(1+$R$18)</f>
        <v>1867.9518263985913</v>
      </c>
      <c r="AB27" s="6">
        <f>AA27*(1+$R$18)</f>
        <v>1886.6313446625772</v>
      </c>
      <c r="AC27" s="6">
        <f>AB27*(1+$R$18)</f>
        <v>1905.497658109203</v>
      </c>
      <c r="AD27" s="6">
        <f>AC27*(1+$R$18)</f>
        <v>1924.552634690295</v>
      </c>
      <c r="AE27" s="6">
        <f>AD27*(1+$R$18)</f>
        <v>1943.798161037198</v>
      </c>
      <c r="AF27" s="6">
        <f>AE27*(1+$R$18)</f>
        <v>1963.23614264757</v>
      </c>
      <c r="AG27" s="6">
        <f>AF27*(1+$R$18)</f>
        <v>1982.8685040740456</v>
      </c>
      <c r="AH27" s="6">
        <f>AG27*(1+$R$18)</f>
        <v>2002.6971891147862</v>
      </c>
      <c r="AI27" s="6">
        <f>AH27*(1+$R$18)</f>
        <v>2022.7241610059341</v>
      </c>
      <c r="AJ27" s="6">
        <f>AI27*(1+$R$18)</f>
        <v>2042.9514026159934</v>
      </c>
      <c r="AK27" s="6">
        <f>AJ27*(1+$R$18)</f>
        <v>2063.3809166421534</v>
      </c>
      <c r="AL27" s="6">
        <f>AK27*(1+$R$18)</f>
        <v>2084.0147258085749</v>
      </c>
      <c r="AM27" s="6">
        <f>AL27*(1+$R$18)</f>
        <v>2104.8548730666607</v>
      </c>
      <c r="AN27" s="6">
        <f>AM27*(1+$R$18)</f>
        <v>2125.9034217973272</v>
      </c>
      <c r="AO27" s="6">
        <f>AN27*(1+$R$18)</f>
        <v>2147.1624560153004</v>
      </c>
      <c r="AP27" s="6">
        <f>AO27*(1+$R$18)</f>
        <v>2168.6340805754535</v>
      </c>
      <c r="AQ27" s="6">
        <f>AP27*(1+$R$18)</f>
        <v>2190.3204213812082</v>
      </c>
      <c r="AR27" s="6">
        <f>AQ27*(1+$R$18)</f>
        <v>2212.2236255950202</v>
      </c>
      <c r="AS27" s="6">
        <f>AR27*(1+$R$18)</f>
        <v>2234.3458618509703</v>
      </c>
      <c r="AT27" s="6">
        <f>AS27*(1+$R$18)</f>
        <v>2256.6893204694802</v>
      </c>
      <c r="AU27" s="6">
        <f>AT27*(1+$R$18)</f>
        <v>2279.2562136741749</v>
      </c>
      <c r="AV27" s="6">
        <f>AU27*(1+$R$18)</f>
        <v>2302.0487758109166</v>
      </c>
      <c r="AW27" s="6">
        <f>AV27*(1+$R$18)</f>
        <v>2325.0692635690257</v>
      </c>
      <c r="AX27" s="6">
        <f>AW27*(1+$R$18)</f>
        <v>2348.3199562047162</v>
      </c>
      <c r="AY27" s="6">
        <f>AX27*(1+$R$18)</f>
        <v>2371.8031557667632</v>
      </c>
      <c r="AZ27" s="6">
        <f>AY27*(1+$R$18)</f>
        <v>2395.5211873244307</v>
      </c>
      <c r="BA27" s="6">
        <f>AZ27*(1+$R$18)</f>
        <v>2419.4763991976752</v>
      </c>
      <c r="BB27" s="6">
        <f>BA27*(1+$R$18)</f>
        <v>2443.6711631896519</v>
      </c>
      <c r="BC27" s="6">
        <f>BB27*(1+$R$18)</f>
        <v>2468.1078748215486</v>
      </c>
      <c r="BD27" s="6">
        <f>BC27*(1+$R$18)</f>
        <v>2492.7889535697641</v>
      </c>
      <c r="BE27" s="6">
        <f>BD27*(1+$R$18)</f>
        <v>2517.716843105462</v>
      </c>
      <c r="BF27" s="6">
        <f>BE27*(1+$R$18)</f>
        <v>2542.8940115365167</v>
      </c>
      <c r="BG27" s="6">
        <f>BF27*(1+$R$18)</f>
        <v>2568.3229516518818</v>
      </c>
      <c r="BH27" s="6">
        <f>BG27*(1+$R$18)</f>
        <v>2594.0061811684004</v>
      </c>
      <c r="BI27" s="6">
        <f>BH27*(1+$R$18)</f>
        <v>2619.9462429800847</v>
      </c>
      <c r="BJ27" s="6">
        <f>BI27*(1+$R$18)</f>
        <v>2646.1457054098855</v>
      </c>
      <c r="BK27" s="6">
        <f>BJ27*(1+$R$18)</f>
        <v>2672.6071624639844</v>
      </c>
      <c r="BL27" s="6">
        <f>BK27*(1+$R$18)</f>
        <v>2699.3332340886241</v>
      </c>
      <c r="BM27" s="6">
        <f>BL27*(1+$R$18)</f>
        <v>2726.3265664295104</v>
      </c>
      <c r="BN27" s="6">
        <f>BM27*(1+$R$18)</f>
        <v>2753.5898320938054</v>
      </c>
      <c r="BO27" s="6">
        <f>BN27*(1+$R$18)</f>
        <v>2781.1257304147434</v>
      </c>
      <c r="BP27" s="6">
        <f>BO27*(1+$R$18)</f>
        <v>2808.936987718891</v>
      </c>
      <c r="BQ27" s="6">
        <f>BP27*(1+$R$18)</f>
        <v>2837.0263575960798</v>
      </c>
      <c r="BR27" s="6">
        <f>BQ27*(1+$R$18)</f>
        <v>2865.3966211720408</v>
      </c>
      <c r="BS27" s="6">
        <f>BR27*(1+$R$18)</f>
        <v>2894.050587383761</v>
      </c>
      <c r="BT27" s="6">
        <f>BS27*(1+$R$18)</f>
        <v>2922.9910932575985</v>
      </c>
      <c r="BU27" s="6">
        <f>BT27*(1+$R$18)</f>
        <v>2952.2210041901744</v>
      </c>
      <c r="BV27" s="6">
        <f>BU27*(1+$R$18)</f>
        <v>2981.7432142320763</v>
      </c>
      <c r="BW27" s="6">
        <f>BV27*(1+$R$18)</f>
        <v>3011.560646374397</v>
      </c>
      <c r="BX27" s="6">
        <f>BW27*(1+$R$18)</f>
        <v>3041.676252838141</v>
      </c>
      <c r="BY27" s="6">
        <f>BX27*(1+$R$18)</f>
        <v>3072.0930153665222</v>
      </c>
      <c r="BZ27" s="6">
        <f>BY27*(1+$R$18)</f>
        <v>3102.8139455201876</v>
      </c>
      <c r="CA27" s="6">
        <f>BZ27*(1+$R$18)</f>
        <v>3133.8420849753898</v>
      </c>
      <c r="CB27" s="6">
        <f>CA27*(1+$R$18)</f>
        <v>3165.1805058251439</v>
      </c>
      <c r="CC27" s="6">
        <f>CB27*(1+$R$18)</f>
        <v>3196.8323108833952</v>
      </c>
      <c r="CD27" s="6">
        <f>CC27*(1+$R$18)</f>
        <v>3228.800633992229</v>
      </c>
      <c r="CE27" s="6">
        <f>CD27*(1+$R$18)</f>
        <v>3261.0886403321515</v>
      </c>
      <c r="CF27" s="6">
        <f>CE27*(1+$R$18)</f>
        <v>3293.6995267354732</v>
      </c>
      <c r="CG27" s="6">
        <f>CF27*(1+$R$18)</f>
        <v>3326.6365220028279</v>
      </c>
      <c r="CH27" s="6">
        <f>CG27*(1+$R$18)</f>
        <v>3359.902887222856</v>
      </c>
      <c r="CI27" s="6">
        <f>CH27*(1+$R$18)</f>
        <v>3393.5019160950847</v>
      </c>
      <c r="CJ27" s="6">
        <f>CI27*(1+$R$18)</f>
        <v>3427.4369352560357</v>
      </c>
      <c r="CK27" s="6">
        <f>CJ27*(1+$R$18)</f>
        <v>3461.711304608596</v>
      </c>
      <c r="CL27" s="6">
        <f>CK27*(1+$R$18)</f>
        <v>3496.3284176546822</v>
      </c>
      <c r="CM27" s="6">
        <f>CL27*(1+$R$18)</f>
        <v>3531.2917018312291</v>
      </c>
      <c r="CN27" s="6">
        <f>CM27*(1+$R$18)</f>
        <v>3566.6046188495416</v>
      </c>
      <c r="CO27" s="6">
        <f>CN27*(1+$R$18)</f>
        <v>3602.2706650380369</v>
      </c>
      <c r="CP27" s="6">
        <f>CO27*(1+$R$18)</f>
        <v>3638.2933716884172</v>
      </c>
      <c r="CQ27" s="6">
        <f>CP27*(1+$R$18)</f>
        <v>3674.6763054053013</v>
      </c>
      <c r="CR27" s="6">
        <f>CQ27*(1+$R$18)</f>
        <v>3711.4230684593545</v>
      </c>
      <c r="CS27" s="6">
        <f>CR27*(1+$R$18)</f>
        <v>3748.5372991439481</v>
      </c>
      <c r="CT27" s="6">
        <f>CS27*(1+$R$18)</f>
        <v>3786.0226721353874</v>
      </c>
      <c r="CU27" s="6">
        <f>CT27*(1+$R$18)</f>
        <v>3823.8828988567411</v>
      </c>
      <c r="CV27" s="6">
        <f>CU27*(1+$R$18)</f>
        <v>3862.1217278453087</v>
      </c>
      <c r="CW27" s="6">
        <f>CV27*(1+$R$18)</f>
        <v>3900.7429451237617</v>
      </c>
      <c r="CX27" s="6">
        <f>CW27*(1+$R$18)</f>
        <v>3939.7503745749996</v>
      </c>
      <c r="CY27" s="6">
        <f>CX27*(1+$R$18)</f>
        <v>3979.1478783207494</v>
      </c>
      <c r="CZ27" s="6">
        <f>CY27*(1+$R$18)</f>
        <v>4018.9393571039568</v>
      </c>
      <c r="DA27" s="6">
        <f>CZ27*(1+$R$18)</f>
        <v>4059.1287506749964</v>
      </c>
      <c r="DB27" s="6">
        <f>DA27*(1+$R$18)</f>
        <v>4099.7200381817465</v>
      </c>
      <c r="DC27" s="6">
        <f>DB27*(1+$R$18)</f>
        <v>4140.717238563564</v>
      </c>
      <c r="DD27" s="6">
        <f>DC27*(1+$R$18)</f>
        <v>4182.1244109492</v>
      </c>
      <c r="DE27" s="6">
        <f>DD27*(1+$R$18)</f>
        <v>4223.945655058692</v>
      </c>
      <c r="DF27" s="6">
        <f>DE27*(1+$R$18)</f>
        <v>4266.1851116092785</v>
      </c>
      <c r="DG27" s="6">
        <f>DF27*(1+$R$18)</f>
        <v>4308.8469627253717</v>
      </c>
      <c r="DH27" s="6">
        <f>DG27*(1+$R$18)</f>
        <v>4351.9354323526259</v>
      </c>
      <c r="DI27" s="6">
        <f>DH27*(1+$R$18)</f>
        <v>4395.4547866761523</v>
      </c>
      <c r="DJ27" s="6">
        <f>DI27*(1+$R$18)</f>
        <v>4439.4093345429137</v>
      </c>
      <c r="DK27" s="6">
        <f>DJ27*(1+$R$18)</f>
        <v>4483.8034278883433</v>
      </c>
      <c r="DL27" s="6">
        <f>DK27*(1+$R$18)</f>
        <v>4528.6414621672266</v>
      </c>
      <c r="DM27" s="6">
        <f>DL27*(1+$R$18)</f>
        <v>4573.9278767888991</v>
      </c>
      <c r="DN27" s="6">
        <f>DM27*(1+$R$18)</f>
        <v>4619.6671555567882</v>
      </c>
      <c r="DO27" s="6">
        <f>DN27*(1+$R$18)</f>
        <v>4665.8638271123564</v>
      </c>
      <c r="DP27" s="6">
        <f>DO27*(1+$R$18)</f>
        <v>4712.5224653834803</v>
      </c>
      <c r="DQ27" s="6">
        <f>DP27*(1+$R$18)</f>
        <v>4759.6476900373154</v>
      </c>
      <c r="DR27" s="6">
        <f>DQ27*(1+$R$18)</f>
        <v>4807.2441669376885</v>
      </c>
      <c r="DS27" s="6">
        <f>DR27*(1+$R$18)</f>
        <v>4855.3166086070651</v>
      </c>
      <c r="DT27" s="6">
        <f>DS27*(1+$R$18)</f>
        <v>4903.8697746931357</v>
      </c>
      <c r="DU27" s="6">
        <f>DT27*(1+$R$18)</f>
        <v>4952.9084724400673</v>
      </c>
      <c r="DV27" s="6">
        <f>DU27*(1+$R$18)</f>
        <v>5002.4375571644678</v>
      </c>
      <c r="DW27" s="6">
        <f>DV27*(1+$R$18)</f>
        <v>5052.4619327361124</v>
      </c>
      <c r="DX27" s="6">
        <f>DW27*(1+$R$18)</f>
        <v>5102.9865520634739</v>
      </c>
      <c r="DY27" s="6">
        <f>DX27*(1+$R$18)</f>
        <v>5154.0164175841091</v>
      </c>
      <c r="DZ27" s="6">
        <f>DY27*(1+$R$18)</f>
        <v>5205.5565817599499</v>
      </c>
      <c r="EA27" s="6">
        <f>DZ27*(1+$R$18)</f>
        <v>5257.6121475775499</v>
      </c>
      <c r="EB27" s="6">
        <f>EA27*(1+$R$18)</f>
        <v>5310.1882690533257</v>
      </c>
      <c r="EC27" s="6">
        <f>EB27*(1+$R$18)</f>
        <v>5363.2901517438586</v>
      </c>
      <c r="ED27" s="6">
        <f>EC27*(1+$R$18)</f>
        <v>5416.9230532612974</v>
      </c>
      <c r="EE27" s="6">
        <f>ED27*(1+$R$18)</f>
        <v>5471.0922837939106</v>
      </c>
      <c r="EF27" s="6">
        <f>EE27*(1+$R$18)</f>
        <v>5525.8032066318501</v>
      </c>
      <c r="EG27" s="6">
        <f>EF27*(1+$R$18)</f>
        <v>5581.0612386981684</v>
      </c>
      <c r="EH27" s="6">
        <f>EG27*(1+$R$18)</f>
        <v>5636.8718510851504</v>
      </c>
      <c r="EI27" s="6">
        <f>EH27*(1+$R$18)</f>
        <v>5693.2405695960024</v>
      </c>
      <c r="EJ27" s="6">
        <f>EI27*(1+$R$18)</f>
        <v>5750.1729752919628</v>
      </c>
      <c r="EK27" s="6">
        <f>EJ27*(1+$R$18)</f>
        <v>5807.6747050448821</v>
      </c>
      <c r="EL27" s="6">
        <f>EK27*(1+$R$18)</f>
        <v>5865.7514520953309</v>
      </c>
      <c r="EM27" s="6">
        <f>EL27*(1+$R$18)</f>
        <v>5924.4089666162845</v>
      </c>
      <c r="EN27" s="6">
        <f>EM27*(1+$R$18)</f>
        <v>5983.6530562824473</v>
      </c>
      <c r="EO27" s="6">
        <f>EN27*(1+$R$18)</f>
        <v>6043.4895868452722</v>
      </c>
      <c r="EP27" s="6">
        <f>EO27*(1+$R$18)</f>
        <v>6103.9244827137254</v>
      </c>
      <c r="EQ27" s="6">
        <f>EP27*(1+$R$18)</f>
        <v>6164.9637275408631</v>
      </c>
    </row>
    <row r="28" spans="1:147" x14ac:dyDescent="0.25">
      <c r="H28" s="4"/>
      <c r="I28" s="4"/>
      <c r="J28" s="4"/>
      <c r="K28" s="4"/>
      <c r="L28" s="4"/>
      <c r="M28" s="4"/>
      <c r="N28" s="4"/>
      <c r="O28" s="4"/>
    </row>
    <row r="29" spans="1:147" x14ac:dyDescent="0.25">
      <c r="H29" s="4"/>
      <c r="I29" s="4"/>
      <c r="J29" s="3">
        <f>J27/J14</f>
        <v>1.0969568294409058</v>
      </c>
      <c r="K29" s="3">
        <f t="shared" ref="K29:O29" si="25">K27/K14</f>
        <v>1.3245753715498936</v>
      </c>
      <c r="L29" s="3">
        <f t="shared" si="25"/>
        <v>1.5437925955414011</v>
      </c>
      <c r="M29" s="3">
        <f t="shared" si="25"/>
        <v>1.799290270103503</v>
      </c>
      <c r="N29" s="3">
        <f t="shared" si="25"/>
        <v>2.097072809805633</v>
      </c>
      <c r="O29" s="3">
        <f t="shared" si="25"/>
        <v>2.4441383598284654</v>
      </c>
    </row>
    <row r="30" spans="1:147" x14ac:dyDescent="0.25">
      <c r="A30" s="2" t="s">
        <v>38</v>
      </c>
      <c r="J30" s="2">
        <f>J32-J34</f>
        <v>2512.8000000000002</v>
      </c>
      <c r="K30" s="2">
        <f>J30+K13</f>
        <v>2958.0158256750001</v>
      </c>
      <c r="L30" s="2">
        <f t="shared" ref="L30:O30" si="26">K30+L13</f>
        <v>3614.6508444245469</v>
      </c>
      <c r="M30" s="2">
        <f t="shared" si="26"/>
        <v>4524.7215199180264</v>
      </c>
      <c r="N30" s="2">
        <f t="shared" si="26"/>
        <v>5736.6417272705894</v>
      </c>
      <c r="O30" s="2">
        <f t="shared" si="26"/>
        <v>7306.0910976137839</v>
      </c>
    </row>
    <row r="32" spans="1:147" x14ac:dyDescent="0.25">
      <c r="A32" s="2" t="s">
        <v>4</v>
      </c>
      <c r="J32" s="2">
        <f>1136.4+1376.4</f>
        <v>2512.8000000000002</v>
      </c>
    </row>
    <row r="34" spans="1:10" x14ac:dyDescent="0.25">
      <c r="A34" s="2" t="s">
        <v>5</v>
      </c>
      <c r="J34" s="2">
        <v>0</v>
      </c>
    </row>
    <row r="36" spans="1:10" x14ac:dyDescent="0.25">
      <c r="A36" s="2" t="s">
        <v>28</v>
      </c>
      <c r="E36" s="2">
        <v>553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2025-02-23T08:30:41Z</dcterms:created>
  <dcterms:modified xsi:type="dcterms:W3CDTF">2025-04-25T03:13:15Z</dcterms:modified>
</cp:coreProperties>
</file>