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65F5D99-AB56-4993-9B66-87363BD83EC8}" xr6:coauthVersionLast="47" xr6:coauthVersionMax="47" xr10:uidLastSave="{00000000-0000-0000-0000-000000000000}"/>
  <bookViews>
    <workbookView xWindow="7140" yWindow="1050" windowWidth="20745" windowHeight="13455" activeTab="1" xr2:uid="{EDEC7EF9-F492-4362-832B-DCA6EE24C5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" l="1"/>
  <c r="M48" i="2"/>
  <c r="N48" i="2"/>
  <c r="O48" i="2"/>
  <c r="P48" i="2"/>
  <c r="Q48" i="2"/>
  <c r="L48" i="2"/>
  <c r="H48" i="2"/>
  <c r="I48" i="2"/>
  <c r="J48" i="2"/>
  <c r="K48" i="2"/>
  <c r="Q66" i="2"/>
  <c r="P66" i="2"/>
  <c r="N66" i="2"/>
  <c r="O66" i="2"/>
  <c r="M21" i="2"/>
  <c r="N21" i="2" s="1"/>
  <c r="O21" i="2" s="1"/>
  <c r="P21" i="2" s="1"/>
  <c r="Q21" i="2" s="1"/>
  <c r="L21" i="2"/>
  <c r="M3" i="2"/>
  <c r="N3" i="2" s="1"/>
  <c r="O3" i="2" s="1"/>
  <c r="P3" i="2" s="1"/>
  <c r="Q3" i="2" s="1"/>
  <c r="N4" i="2"/>
  <c r="O4" i="2" s="1"/>
  <c r="P4" i="2" s="1"/>
  <c r="Q4" i="2" s="1"/>
  <c r="M4" i="2"/>
  <c r="N40" i="2"/>
  <c r="O40" i="2"/>
  <c r="P40" i="2"/>
  <c r="Q40" i="2"/>
  <c r="M40" i="2"/>
  <c r="Q39" i="2"/>
  <c r="P39" i="2"/>
  <c r="O39" i="2"/>
  <c r="N39" i="2"/>
  <c r="M39" i="2"/>
  <c r="M22" i="2"/>
  <c r="N22" i="2"/>
  <c r="O22" i="2"/>
  <c r="P22" i="2"/>
  <c r="Q22" i="2"/>
  <c r="L22" i="2"/>
  <c r="L3" i="2"/>
  <c r="L4" i="2"/>
  <c r="M79" i="2"/>
  <c r="N79" i="2" s="1"/>
  <c r="O79" i="2" s="1"/>
  <c r="P79" i="2" s="1"/>
  <c r="Q79" i="2" s="1"/>
  <c r="N41" i="2"/>
  <c r="O41" i="2" s="1"/>
  <c r="P41" i="2" s="1"/>
  <c r="Q41" i="2" s="1"/>
  <c r="L82" i="2"/>
  <c r="M82" i="2" s="1"/>
  <c r="N82" i="2" s="1"/>
  <c r="O82" i="2" s="1"/>
  <c r="P82" i="2" s="1"/>
  <c r="Q82" i="2" s="1"/>
  <c r="L83" i="2"/>
  <c r="M83" i="2" s="1"/>
  <c r="N83" i="2" s="1"/>
  <c r="O83" i="2" s="1"/>
  <c r="P83" i="2" s="1"/>
  <c r="Q83" i="2" s="1"/>
  <c r="M38" i="2"/>
  <c r="N38" i="2" s="1"/>
  <c r="O38" i="2" s="1"/>
  <c r="P38" i="2" s="1"/>
  <c r="Q38" i="2" s="1"/>
  <c r="L15" i="2"/>
  <c r="M63" i="2"/>
  <c r="N63" i="2" s="1"/>
  <c r="O63" i="2" s="1"/>
  <c r="P63" i="2" s="1"/>
  <c r="Q63" i="2" s="1"/>
  <c r="R63" i="2" s="1"/>
  <c r="S63" i="2" s="1"/>
  <c r="T63" i="2" s="1"/>
  <c r="M46" i="2"/>
  <c r="N46" i="2" s="1"/>
  <c r="O46" i="2" s="1"/>
  <c r="P46" i="2" s="1"/>
  <c r="Q46" i="2" s="1"/>
  <c r="M45" i="2"/>
  <c r="N45" i="2" s="1"/>
  <c r="O45" i="2" s="1"/>
  <c r="P45" i="2" s="1"/>
  <c r="Q45" i="2" s="1"/>
  <c r="M44" i="2"/>
  <c r="N44" i="2" s="1"/>
  <c r="O44" i="2" s="1"/>
  <c r="P44" i="2" s="1"/>
  <c r="Q44" i="2" s="1"/>
  <c r="M68" i="2"/>
  <c r="M71" i="2" s="1"/>
  <c r="L69" i="2"/>
  <c r="M62" i="2"/>
  <c r="N62" i="2" s="1"/>
  <c r="O62" i="2" s="1"/>
  <c r="P62" i="2" s="1"/>
  <c r="Q62" i="2" s="1"/>
  <c r="K81" i="2"/>
  <c r="K84" i="2" s="1"/>
  <c r="I77" i="2"/>
  <c r="I78" i="2" s="1"/>
  <c r="J77" i="2"/>
  <c r="J78" i="2" s="1"/>
  <c r="K77" i="2"/>
  <c r="K78" i="2" s="1"/>
  <c r="B78" i="2"/>
  <c r="D78" i="2"/>
  <c r="E78" i="2"/>
  <c r="F10" i="1" s="1"/>
  <c r="F11" i="1" s="1"/>
  <c r="F78" i="2"/>
  <c r="H78" i="2"/>
  <c r="C78" i="2"/>
  <c r="L51" i="2"/>
  <c r="L53" i="2"/>
  <c r="L52" i="2"/>
  <c r="I42" i="2"/>
  <c r="J42" i="2"/>
  <c r="K42" i="2"/>
  <c r="H42" i="2"/>
  <c r="E47" i="2"/>
  <c r="L74" i="2"/>
  <c r="M74" i="2" s="1"/>
  <c r="M72" i="2"/>
  <c r="L71" i="2"/>
  <c r="H6" i="2"/>
  <c r="H9" i="2" s="1"/>
  <c r="I32" i="2"/>
  <c r="I31" i="2"/>
  <c r="I30" i="2"/>
  <c r="H22" i="2"/>
  <c r="H23" i="2"/>
  <c r="H13" i="2"/>
  <c r="H5" i="2"/>
  <c r="K15" i="2"/>
  <c r="J15" i="2"/>
  <c r="I15" i="2"/>
  <c r="J13" i="2"/>
  <c r="K13" i="2"/>
  <c r="I13" i="2"/>
  <c r="I23" i="2"/>
  <c r="J23" i="2"/>
  <c r="J22" i="2"/>
  <c r="I22" i="2"/>
  <c r="I21" i="2"/>
  <c r="J21" i="2"/>
  <c r="K31" i="2"/>
  <c r="K32" i="2"/>
  <c r="J32" i="2"/>
  <c r="J31" i="2"/>
  <c r="J30" i="2"/>
  <c r="K30" i="2"/>
  <c r="K23" i="2"/>
  <c r="K22" i="2"/>
  <c r="J9" i="2"/>
  <c r="I9" i="2"/>
  <c r="I5" i="2"/>
  <c r="J5" i="2"/>
  <c r="K5" i="2"/>
  <c r="F5" i="1"/>
  <c r="F4" i="1"/>
  <c r="F7" i="1" s="1"/>
  <c r="B42" i="2"/>
  <c r="J1" i="2"/>
  <c r="K1" i="2" s="1"/>
  <c r="L1" i="2" s="1"/>
  <c r="M1" i="2" s="1"/>
  <c r="N1" i="2" s="1"/>
  <c r="O1" i="2" s="1"/>
  <c r="P1" i="2" s="1"/>
  <c r="Q1" i="2" s="1"/>
  <c r="H21" i="2" l="1"/>
  <c r="L42" i="2"/>
  <c r="L2" i="2" s="1"/>
  <c r="M69" i="2"/>
  <c r="N68" i="2"/>
  <c r="N69" i="2"/>
  <c r="L57" i="2"/>
  <c r="P31" i="2"/>
  <c r="J26" i="2"/>
  <c r="K86" i="2"/>
  <c r="K26" i="2"/>
  <c r="P32" i="2"/>
  <c r="Q51" i="2"/>
  <c r="M47" i="2"/>
  <c r="M58" i="2" s="1"/>
  <c r="L47" i="2"/>
  <c r="M81" i="2"/>
  <c r="L81" i="2"/>
  <c r="M52" i="2"/>
  <c r="G11" i="1"/>
  <c r="I26" i="2"/>
  <c r="P51" i="2"/>
  <c r="M57" i="2"/>
  <c r="L31" i="2"/>
  <c r="M51" i="2"/>
  <c r="M42" i="2"/>
  <c r="M2" i="2" s="1"/>
  <c r="N53" i="2"/>
  <c r="M53" i="2"/>
  <c r="N51" i="2"/>
  <c r="N72" i="2"/>
  <c r="N74" i="2"/>
  <c r="O74" i="2" s="1"/>
  <c r="L32" i="2"/>
  <c r="H10" i="2"/>
  <c r="H14" i="2" s="1"/>
  <c r="H27" i="2"/>
  <c r="J27" i="2"/>
  <c r="I27" i="2"/>
  <c r="J10" i="2"/>
  <c r="J14" i="2" s="1"/>
  <c r="I10" i="2"/>
  <c r="I14" i="2" s="1"/>
  <c r="L7" i="2"/>
  <c r="L8" i="2"/>
  <c r="M8" i="2"/>
  <c r="M32" i="2"/>
  <c r="N52" i="2" l="1"/>
  <c r="N71" i="2"/>
  <c r="O68" i="2"/>
  <c r="L58" i="2"/>
  <c r="L59" i="2" s="1"/>
  <c r="L60" i="2" s="1"/>
  <c r="M87" i="2"/>
  <c r="L84" i="2"/>
  <c r="L86" i="2" s="1"/>
  <c r="L87" i="2"/>
  <c r="O69" i="2"/>
  <c r="P74" i="2"/>
  <c r="Q57" i="2"/>
  <c r="O52" i="2"/>
  <c r="J16" i="2"/>
  <c r="J28" i="2" s="1"/>
  <c r="J25" i="2"/>
  <c r="P52" i="2"/>
  <c r="Q31" i="2"/>
  <c r="Q7" i="2"/>
  <c r="M84" i="2"/>
  <c r="M86" i="2" s="1"/>
  <c r="N81" i="2"/>
  <c r="N87" i="2" s="1"/>
  <c r="O47" i="2"/>
  <c r="O58" i="2" s="1"/>
  <c r="H16" i="2"/>
  <c r="H28" i="2" s="1"/>
  <c r="H25" i="2"/>
  <c r="Q42" i="2"/>
  <c r="Q2" i="2" s="1"/>
  <c r="I16" i="2"/>
  <c r="I28" i="2" s="1"/>
  <c r="I25" i="2"/>
  <c r="P53" i="2"/>
  <c r="Q47" i="2"/>
  <c r="N47" i="2"/>
  <c r="N58" i="2" s="1"/>
  <c r="P47" i="2"/>
  <c r="P58" i="2" s="1"/>
  <c r="Q32" i="2"/>
  <c r="Q8" i="2"/>
  <c r="M59" i="2"/>
  <c r="M60" i="2" s="1"/>
  <c r="O53" i="2"/>
  <c r="N57" i="2"/>
  <c r="L43" i="2"/>
  <c r="M7" i="2"/>
  <c r="M31" i="2"/>
  <c r="N31" i="2"/>
  <c r="O51" i="2"/>
  <c r="O57" i="2"/>
  <c r="O42" i="2"/>
  <c r="O2" i="2" s="1"/>
  <c r="N42" i="2"/>
  <c r="N2" i="2" s="1"/>
  <c r="P57" i="2"/>
  <c r="O72" i="2"/>
  <c r="N32" i="2"/>
  <c r="N8" i="2"/>
  <c r="N7" i="2"/>
  <c r="O31" i="2"/>
  <c r="O32" i="2"/>
  <c r="P68" i="2" l="1"/>
  <c r="O71" i="2"/>
  <c r="L50" i="2"/>
  <c r="M43" i="2"/>
  <c r="N43" i="2" s="1"/>
  <c r="O43" i="2" s="1"/>
  <c r="P43" i="2" s="1"/>
  <c r="Q43" i="2" s="1"/>
  <c r="P69" i="2"/>
  <c r="Q58" i="2"/>
  <c r="J18" i="2"/>
  <c r="H18" i="2"/>
  <c r="H19" i="2" s="1"/>
  <c r="N84" i="2"/>
  <c r="N86" i="2" s="1"/>
  <c r="O81" i="2"/>
  <c r="O87" i="2" s="1"/>
  <c r="Q53" i="2"/>
  <c r="I18" i="2"/>
  <c r="Q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2" i="2" s="1"/>
  <c r="CX52" i="2" s="1"/>
  <c r="CY52" i="2" s="1"/>
  <c r="CZ52" i="2" s="1"/>
  <c r="DA52" i="2" s="1"/>
  <c r="DB52" i="2" s="1"/>
  <c r="DC52" i="2" s="1"/>
  <c r="DD52" i="2" s="1"/>
  <c r="DE52" i="2" s="1"/>
  <c r="DF52" i="2" s="1"/>
  <c r="DG52" i="2" s="1"/>
  <c r="DH52" i="2" s="1"/>
  <c r="DI52" i="2" s="1"/>
  <c r="DJ52" i="2" s="1"/>
  <c r="DK52" i="2" s="1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X52" i="2" s="1"/>
  <c r="DY52" i="2" s="1"/>
  <c r="DZ52" i="2" s="1"/>
  <c r="EA52" i="2" s="1"/>
  <c r="EB52" i="2" s="1"/>
  <c r="EC52" i="2" s="1"/>
  <c r="ED52" i="2" s="1"/>
  <c r="EE52" i="2" s="1"/>
  <c r="EF52" i="2" s="1"/>
  <c r="EG52" i="2" s="1"/>
  <c r="EH52" i="2" s="1"/>
  <c r="EI52" i="2" s="1"/>
  <c r="EJ52" i="2" s="1"/>
  <c r="EK52" i="2" s="1"/>
  <c r="EL52" i="2" s="1"/>
  <c r="EM52" i="2" s="1"/>
  <c r="EN52" i="2" s="1"/>
  <c r="EO52" i="2" s="1"/>
  <c r="N59" i="2"/>
  <c r="N60" i="2" s="1"/>
  <c r="P42" i="2"/>
  <c r="P2" i="2" s="1"/>
  <c r="P72" i="2"/>
  <c r="O7" i="2"/>
  <c r="O8" i="2"/>
  <c r="T46" i="2" l="1"/>
  <c r="I19" i="2"/>
  <c r="I79" i="2"/>
  <c r="J19" i="2"/>
  <c r="J79" i="2"/>
  <c r="Q68" i="2"/>
  <c r="P71" i="2"/>
  <c r="L5" i="2"/>
  <c r="L26" i="2" s="1"/>
  <c r="Q69" i="2"/>
  <c r="Q72" i="2"/>
  <c r="Q74" i="2"/>
  <c r="P81" i="2"/>
  <c r="O84" i="2"/>
  <c r="O86" i="2" s="1"/>
  <c r="O59" i="2"/>
  <c r="O60" i="2" s="1"/>
  <c r="M50" i="2"/>
  <c r="P8" i="2"/>
  <c r="P7" i="2"/>
  <c r="R69" i="2" l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T74" i="2" s="1"/>
  <c r="L12" i="2"/>
  <c r="L11" i="2"/>
  <c r="Q71" i="2"/>
  <c r="Q81" i="2"/>
  <c r="P87" i="2"/>
  <c r="M5" i="2"/>
  <c r="M26" i="2" s="1"/>
  <c r="P84" i="2"/>
  <c r="P86" i="2" s="1"/>
  <c r="Q59" i="2"/>
  <c r="Q60" i="2" s="1"/>
  <c r="P59" i="2"/>
  <c r="P60" i="2" s="1"/>
  <c r="N50" i="2"/>
  <c r="K21" i="2"/>
  <c r="K9" i="2"/>
  <c r="L13" i="2" l="1"/>
  <c r="M12" i="2"/>
  <c r="M11" i="2"/>
  <c r="R60" i="2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DM60" i="2" s="1"/>
  <c r="DN60" i="2" s="1"/>
  <c r="DO60" i="2" s="1"/>
  <c r="DP60" i="2" s="1"/>
  <c r="DQ60" i="2" s="1"/>
  <c r="DR60" i="2" s="1"/>
  <c r="DS60" i="2" s="1"/>
  <c r="DT60" i="2" s="1"/>
  <c r="DU60" i="2" s="1"/>
  <c r="DV60" i="2" s="1"/>
  <c r="DW60" i="2" s="1"/>
  <c r="DX60" i="2" s="1"/>
  <c r="DY60" i="2" s="1"/>
  <c r="DZ60" i="2" s="1"/>
  <c r="EA60" i="2" s="1"/>
  <c r="EB60" i="2" s="1"/>
  <c r="EC60" i="2" s="1"/>
  <c r="ED60" i="2" s="1"/>
  <c r="EE60" i="2" s="1"/>
  <c r="EF60" i="2" s="1"/>
  <c r="EG60" i="2" s="1"/>
  <c r="EH60" i="2" s="1"/>
  <c r="EI60" i="2" s="1"/>
  <c r="EJ60" i="2" s="1"/>
  <c r="X66" i="2" s="1"/>
  <c r="Q87" i="2"/>
  <c r="U63" i="2"/>
  <c r="Q84" i="2"/>
  <c r="Q86" i="2" s="1"/>
  <c r="N5" i="2"/>
  <c r="N26" i="2" s="1"/>
  <c r="O50" i="2"/>
  <c r="K10" i="2"/>
  <c r="K14" i="2" s="1"/>
  <c r="K27" i="2"/>
  <c r="M13" i="2" l="1"/>
  <c r="N11" i="2"/>
  <c r="N12" i="2"/>
  <c r="K16" i="2"/>
  <c r="K25" i="2"/>
  <c r="P50" i="2"/>
  <c r="O5" i="2"/>
  <c r="O26" i="2" s="1"/>
  <c r="K28" i="2"/>
  <c r="K18" i="2"/>
  <c r="K19" i="2" l="1"/>
  <c r="K79" i="2"/>
  <c r="O12" i="2"/>
  <c r="O11" i="2"/>
  <c r="N13" i="2"/>
  <c r="P30" i="2"/>
  <c r="P5" i="2"/>
  <c r="P26" i="2" s="1"/>
  <c r="L55" i="2"/>
  <c r="Q50" i="2"/>
  <c r="N30" i="2"/>
  <c r="P6" i="2"/>
  <c r="P9" i="2" s="1"/>
  <c r="N6" i="2"/>
  <c r="N9" i="2" s="1"/>
  <c r="M6" i="2"/>
  <c r="M9" i="2" s="1"/>
  <c r="M10" i="2" s="1"/>
  <c r="M14" i="2" s="1"/>
  <c r="O6" i="2"/>
  <c r="O9" i="2" s="1"/>
  <c r="O10" i="2" s="1"/>
  <c r="O30" i="2"/>
  <c r="P11" i="2" l="1"/>
  <c r="O13" i="2"/>
  <c r="P12" i="2"/>
  <c r="L56" i="2"/>
  <c r="Q6" i="2"/>
  <c r="Q9" i="2" s="1"/>
  <c r="Q5" i="2"/>
  <c r="Q30" i="2"/>
  <c r="M25" i="2"/>
  <c r="O27" i="2"/>
  <c r="N27" i="2"/>
  <c r="N10" i="2"/>
  <c r="N14" i="2" s="1"/>
  <c r="P27" i="2"/>
  <c r="P10" i="2"/>
  <c r="M27" i="2"/>
  <c r="P13" i="2" l="1"/>
  <c r="O14" i="2"/>
  <c r="O25" i="2" s="1"/>
  <c r="Q27" i="2"/>
  <c r="Q10" i="2"/>
  <c r="Q26" i="2"/>
  <c r="N25" i="2"/>
  <c r="L30" i="2"/>
  <c r="P14" i="2" l="1"/>
  <c r="P25" i="2" s="1"/>
  <c r="Q12" i="2"/>
  <c r="Q11" i="2"/>
  <c r="M30" i="2"/>
  <c r="L6" i="2"/>
  <c r="L9" i="2" s="1"/>
  <c r="L27" i="2" s="1"/>
  <c r="Q13" i="2" l="1"/>
  <c r="L10" i="2"/>
  <c r="L14" i="2" s="1"/>
  <c r="Q14" i="2" l="1"/>
  <c r="Q25" i="2" s="1"/>
  <c r="L16" i="2"/>
  <c r="L17" i="2" s="1"/>
  <c r="L18" i="2" s="1"/>
  <c r="L25" i="2"/>
  <c r="L89" i="2" l="1"/>
  <c r="M15" i="2" s="1"/>
  <c r="L78" i="2"/>
  <c r="L34" i="2"/>
  <c r="M16" i="2"/>
  <c r="M17" i="2" s="1"/>
  <c r="M18" i="2" s="1"/>
  <c r="L19" i="2"/>
  <c r="F8" i="1" s="1"/>
  <c r="M19" i="2" l="1"/>
  <c r="M34" i="2"/>
  <c r="M78" i="2"/>
  <c r="M89" i="2"/>
  <c r="N15" i="2" l="1"/>
  <c r="N16" i="2" s="1"/>
  <c r="N17" i="2" s="1"/>
  <c r="N18" i="2" s="1"/>
  <c r="N34" i="2" l="1"/>
  <c r="N78" i="2"/>
  <c r="N19" i="2"/>
  <c r="N89" i="2"/>
  <c r="O15" i="2" s="1"/>
  <c r="O16" i="2" s="1"/>
  <c r="O17" i="2" s="1"/>
  <c r="O18" i="2" s="1"/>
  <c r="O19" i="2" l="1"/>
  <c r="O78" i="2"/>
  <c r="O34" i="2"/>
  <c r="O89" i="2"/>
  <c r="P15" i="2" s="1"/>
  <c r="P16" i="2" s="1"/>
  <c r="P17" i="2" s="1"/>
  <c r="P18" i="2" s="1"/>
  <c r="P19" i="2" l="1"/>
  <c r="P34" i="2"/>
  <c r="P78" i="2"/>
  <c r="P89" i="2"/>
  <c r="Q15" i="2" s="1"/>
  <c r="Q16" i="2" l="1"/>
  <c r="Q17" i="2" s="1"/>
  <c r="Q18" i="2" s="1"/>
  <c r="R18" i="2" l="1"/>
  <c r="S18" i="2" s="1"/>
  <c r="T18" i="2" s="1"/>
  <c r="U18" i="2" s="1"/>
  <c r="Q78" i="2"/>
  <c r="Q34" i="2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Q19" i="2"/>
  <c r="Q89" i="2"/>
  <c r="V18" i="2" l="1"/>
  <c r="W18" i="2" l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T24" i="2" s="1"/>
  <c r="T25" i="2" l="1"/>
  <c r="T26" i="2" s="1"/>
</calcChain>
</file>

<file path=xl/sharedStrings.xml><?xml version="1.0" encoding="utf-8"?>
<sst xmlns="http://schemas.openxmlformats.org/spreadsheetml/2006/main" count="107" uniqueCount="90">
  <si>
    <t>TSLA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</si>
  <si>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</si>
  <si>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</si>
  <si>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</si>
  <si>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</si>
  <si>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</si>
  <si>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</si>
  <si>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</si>
  <si>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</si>
  <si>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</si>
  <si>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</si>
  <si>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</si>
  <si>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</si>
  <si>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</si>
  <si>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</si>
  <si>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</si>
  <si>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</si>
  <si>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</si>
  <si>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</si>
  <si>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</si>
  <si>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</si>
  <si>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</si>
  <si>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</si>
  <si>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</si>
  <si>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</si>
  <si>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</si>
  <si>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</si>
  <si>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</si>
  <si>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</si>
  <si>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</si>
  <si>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</si>
  <si>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Revenue Growth</t>
  </si>
  <si>
    <t>Gross Margin</t>
  </si>
  <si>
    <t>Automotive Growth</t>
  </si>
  <si>
    <t>Energy Growth</t>
  </si>
  <si>
    <t>Services Growth</t>
  </si>
  <si>
    <t>Gross Profit</t>
  </si>
  <si>
    <t>R&amp;D</t>
  </si>
  <si>
    <t>SG&amp;A</t>
  </si>
  <si>
    <t>OPEX</t>
  </si>
  <si>
    <t>EBITDA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</si>
  <si>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</si>
  <si>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</si>
  <si>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</si>
  <si>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</si>
  <si>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</si>
  <si>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</si>
  <si>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</si>
  <si>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</si>
  <si>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</si>
  <si>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</si>
  <si>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</si>
  <si>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</si>
  <si>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</si>
  <si>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</si>
  <si>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</si>
  <si>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</si>
  <si>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</si>
  <si>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</si>
  <si>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</si>
  <si>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</si>
  <si>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</si>
  <si>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</si>
  <si>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</si>
  <si>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</si>
  <si>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</si>
  <si>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</si>
  <si>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NTM</t>
  </si>
  <si>
    <t>CFFO</t>
  </si>
  <si>
    <t>CX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</si>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</sst>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9525</xdr:colOff>
      <xdr:row>24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6705600" y="0"/>
          <a:ext cx="9525" cy="486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0</xdr:rowOff>
    </xdr:from>
    <xdr:to>
      <xdr:col>5</xdr:col>
      <xdr:colOff>9525</xdr:colOff>
      <xdr:row>24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 flipH="1">
          <a:off x="3038475" y="0"/>
          <a:ext cx="19050" cy="476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G11"/>
  <sheetViews>
    <sheetView zoomScale="280" zoomScaleNormal="280" workbookViewId="0">
      <selection activeCell="F3" sqref="F3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B2" t="s">
        <v>47</v>
      </c>
      <c r="E2" t="s">
        <v>1</v>
      </c>
      <c r="F2" s="2">
        <v>252</v>
      </c>
    </row>
    <row r="3" spans="1:7" x14ac:dyDescent="0.25">
      <c r="B3" t="s">
        <v>48</v>
      </c>
      <c r="E3" t="s">
        <v>2</v>
      </c>
      <c r="F3" s="2">
        <v>3216</v>
      </c>
    </row>
    <row r="4" spans="1:7" x14ac:dyDescent="0.25">
      <c r="B4" t="s">
        <v>49</v>
      </c>
      <c r="E4" t="s">
        <v>3</v>
      </c>
      <c r="F4" s="2">
        <f>F3*F2</f>
        <v>810432</v>
      </c>
    </row>
    <row r="5" spans="1:7" x14ac:dyDescent="0.25">
      <c r="B5" t="s">
        <v>50</v>
      </c>
      <c r="E5" t="s">
        <v>4</v>
      </c>
      <c r="F5" s="2">
        <f>16139+20424</f>
        <v>36563</v>
      </c>
    </row>
    <row r="6" spans="1:7" x14ac:dyDescent="0.25">
      <c r="B6" t="s">
        <v>52</v>
      </c>
      <c r="E6" t="s">
        <v>5</v>
      </c>
      <c r="F6" s="2">
        <v>10495</v>
      </c>
    </row>
    <row r="7" spans="1:7" x14ac:dyDescent="0.25">
      <c r="E7" t="s">
        <v>6</v>
      </c>
      <c r="F7" s="2">
        <f>F4+F6-F5</f>
        <v>784364</v>
      </c>
    </row>
    <row r="8" spans="1:7" x14ac:dyDescent="0.25">
      <c r="F8" s="7">
        <f>F2/Sheet2!L19</f>
        <v>51.328237607200514</v>
      </c>
    </row>
    <row r="10" spans="1:7" x14ac:dyDescent="0.25">
      <c r="E10" t="s">
        <v>66</v>
      </c>
      <c r="F10" s="2">
        <f>Sheet2!E78</f>
        <v>2031</v>
      </c>
    </row>
    <row r="11" spans="1:7" x14ac:dyDescent="0.25">
      <c r="E11" t="s">
        <v>67</v>
      </c>
      <c r="F11" s="2">
        <f>F10*1.4*4</f>
        <v>11373.599999999999</v>
      </c>
      <c r="G11">
        <f>F7/F11</f>
        <v>68.963564746430336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L93"/>
  <sheetViews>
    <sheetView tabSelected="1" workbookViewId="0">
      <pane xSplit="1" ySplit="1" topLeftCell="K6" activePane="bottomRight" state="frozen"/>
      <selection pane="topRight" activeCell="B1" sqref="B1"/>
      <selection pane="bottomLeft" activeCell="A2" sqref="A2"/>
      <selection pane="bottomRight" activeCell="Q20" sqref="Q20"/>
    </sheetView>
  </sheetViews>
  <sheetFormatPr defaultRowHeight="15" x14ac:dyDescent="0.25"/>
  <cols>
    <col min="1" max="1" width="19.140625" style="2" customWidth="1"/>
    <col min="2" max="5" width="9.140625" style="2"/>
    <col min="6" max="6" width="13.85546875" style="2" bestFit="1" customWidth="1"/>
    <col min="7" max="11" width="9.140625" style="2"/>
    <col min="12" max="12" width="9.140625" style="2" customWidth="1"/>
    <col min="13" max="13" width="9.42578125" style="2" customWidth="1"/>
    <col min="14" max="14" width="9.140625" style="2" customWidth="1"/>
    <col min="15" max="15" width="9.140625" style="2"/>
    <col min="16" max="16" width="9.140625" style="2" customWidth="1"/>
    <col min="17" max="17" width="9.140625" style="2"/>
    <col min="18" max="18" width="12.7109375" style="2" bestFit="1" customWidth="1"/>
    <col min="19" max="19" width="9.140625" style="2"/>
    <col min="20" max="20" width="8.85546875" style="2" customWidth="1"/>
    <col min="21" max="23" width="9.140625" style="2"/>
    <col min="24" max="24" width="9.140625" style="2" customWidth="1"/>
    <col min="25" max="16384" width="9.140625" style="2"/>
  </cols>
  <sheetData>
    <row r="1" spans="1:21" x14ac:dyDescent="0.25"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3">
        <v>2021</v>
      </c>
      <c r="I1" s="3">
        <v>2022</v>
      </c>
      <c r="J1" s="3">
        <f>I1+1</f>
        <v>2023</v>
      </c>
      <c r="K1" s="3">
        <f t="shared" ref="K1:P1" si="0">J1+1</f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  <c r="Q1" s="3">
        <f t="shared" ref="Q1" si="1">P1+1</f>
        <v>2030</v>
      </c>
      <c r="R1" s="3"/>
      <c r="S1" s="3"/>
      <c r="T1" s="3"/>
      <c r="U1" s="3"/>
    </row>
    <row r="2" spans="1:21" x14ac:dyDescent="0.25">
      <c r="A2" s="2" t="s">
        <v>21</v>
      </c>
      <c r="E2" s="2">
        <v>19798</v>
      </c>
      <c r="H2" s="2">
        <v>47232</v>
      </c>
      <c r="I2" s="2">
        <v>71462</v>
      </c>
      <c r="J2" s="2">
        <v>82419</v>
      </c>
      <c r="K2" s="2">
        <v>77070</v>
      </c>
      <c r="L2" s="2">
        <f>(L42*L48)/1000000</f>
        <v>96241.468721603393</v>
      </c>
      <c r="M2" s="2">
        <f>(M42*M48)/1000000</f>
        <v>131545.16512661538</v>
      </c>
      <c r="N2" s="2">
        <f t="shared" ref="N2:Q2" si="2">(N42*N48)/1000000</f>
        <v>159538.78253839002</v>
      </c>
      <c r="O2" s="2">
        <f t="shared" si="2"/>
        <v>191978.60528888166</v>
      </c>
      <c r="P2" s="2">
        <f t="shared" si="2"/>
        <v>232292.90389848457</v>
      </c>
      <c r="Q2" s="2">
        <f t="shared" si="2"/>
        <v>282997.67249227938</v>
      </c>
    </row>
    <row r="3" spans="1:21" x14ac:dyDescent="0.25">
      <c r="A3" s="2" t="s">
        <v>22</v>
      </c>
      <c r="H3" s="2">
        <v>2789</v>
      </c>
      <c r="I3" s="2">
        <v>3909</v>
      </c>
      <c r="J3" s="2">
        <v>6035</v>
      </c>
      <c r="K3" s="2">
        <v>10086</v>
      </c>
      <c r="L3" s="2">
        <f>K3*1.5</f>
        <v>15129</v>
      </c>
      <c r="M3" s="2">
        <f>L3*1.24</f>
        <v>18759.96</v>
      </c>
      <c r="N3" s="2">
        <f t="shared" ref="N3:Q3" si="3">M3*1.24</f>
        <v>23262.350399999999</v>
      </c>
      <c r="O3" s="2">
        <f t="shared" si="3"/>
        <v>28845.314495999999</v>
      </c>
      <c r="P3" s="2">
        <f t="shared" si="3"/>
        <v>35768.189975039997</v>
      </c>
      <c r="Q3" s="2">
        <f t="shared" si="3"/>
        <v>44352.555569049597</v>
      </c>
    </row>
    <row r="4" spans="1:21" x14ac:dyDescent="0.25">
      <c r="A4" s="2" t="s">
        <v>23</v>
      </c>
      <c r="H4" s="2">
        <v>3802</v>
      </c>
      <c r="I4" s="2">
        <v>6091</v>
      </c>
      <c r="J4" s="2">
        <v>8319</v>
      </c>
      <c r="K4" s="2">
        <v>10534</v>
      </c>
      <c r="L4" s="2">
        <f>K4*1.3</f>
        <v>13694.2</v>
      </c>
      <c r="M4" s="2">
        <f>L4*1.3</f>
        <v>17802.460000000003</v>
      </c>
      <c r="N4" s="2">
        <f t="shared" ref="N4:Q4" si="4">M4*1.3</f>
        <v>23143.198000000004</v>
      </c>
      <c r="O4" s="2">
        <f t="shared" si="4"/>
        <v>30086.157400000007</v>
      </c>
      <c r="P4" s="2">
        <f t="shared" si="4"/>
        <v>39112.004620000014</v>
      </c>
      <c r="Q4" s="2">
        <f t="shared" si="4"/>
        <v>50845.606006000024</v>
      </c>
    </row>
    <row r="5" spans="1:21" s="5" customFormat="1" x14ac:dyDescent="0.25">
      <c r="A5" s="5" t="s">
        <v>12</v>
      </c>
      <c r="H5" s="5">
        <f t="shared" ref="H5:P5" si="5">SUM(H2:H4)</f>
        <v>53823</v>
      </c>
      <c r="I5" s="5">
        <f t="shared" si="5"/>
        <v>81462</v>
      </c>
      <c r="J5" s="5">
        <f t="shared" si="5"/>
        <v>96773</v>
      </c>
      <c r="K5" s="5">
        <f t="shared" si="5"/>
        <v>97690</v>
      </c>
      <c r="L5" s="5">
        <f t="shared" si="5"/>
        <v>125064.66872160339</v>
      </c>
      <c r="M5" s="5">
        <f t="shared" si="5"/>
        <v>168107.58512661536</v>
      </c>
      <c r="N5" s="5">
        <f t="shared" si="5"/>
        <v>205944.33093839002</v>
      </c>
      <c r="O5" s="5">
        <f t="shared" si="5"/>
        <v>250910.07718488167</v>
      </c>
      <c r="P5" s="5">
        <f t="shared" si="5"/>
        <v>307173.09849352459</v>
      </c>
      <c r="Q5" s="5">
        <f t="shared" ref="Q5" si="6">SUM(Q2:Q4)</f>
        <v>378195.83406732901</v>
      </c>
    </row>
    <row r="6" spans="1:21" x14ac:dyDescent="0.25">
      <c r="A6" s="2" t="s">
        <v>24</v>
      </c>
      <c r="H6" s="2">
        <f>32415+978</f>
        <v>33393</v>
      </c>
      <c r="I6" s="2">
        <v>51108</v>
      </c>
      <c r="J6" s="2">
        <v>66389</v>
      </c>
      <c r="K6" s="2">
        <v>62873</v>
      </c>
      <c r="L6" s="2">
        <f t="shared" ref="L6:Q8" si="7">L2*(1-L21)</f>
        <v>72336.546981195526</v>
      </c>
      <c r="M6" s="2">
        <f t="shared" si="7"/>
        <v>95603.957958894811</v>
      </c>
      <c r="N6" s="2">
        <f t="shared" si="7"/>
        <v>111590.09455828085</v>
      </c>
      <c r="O6" s="2">
        <f t="shared" si="7"/>
        <v>128510.43593763385</v>
      </c>
      <c r="P6" s="2">
        <f t="shared" si="7"/>
        <v>147817.20997576392</v>
      </c>
      <c r="Q6" s="2">
        <f t="shared" si="7"/>
        <v>169791.16985187863</v>
      </c>
    </row>
    <row r="7" spans="1:21" x14ac:dyDescent="0.25">
      <c r="A7" s="2" t="s">
        <v>25</v>
      </c>
      <c r="H7" s="2">
        <v>2918</v>
      </c>
      <c r="I7" s="2">
        <v>3621</v>
      </c>
      <c r="J7" s="2">
        <v>4894</v>
      </c>
      <c r="K7" s="2">
        <v>7446</v>
      </c>
      <c r="L7" s="2">
        <f t="shared" si="7"/>
        <v>9657.6904109589032</v>
      </c>
      <c r="M7" s="2">
        <f t="shared" si="7"/>
        <v>11839.84763178082</v>
      </c>
      <c r="N7" s="2">
        <f t="shared" si="7"/>
        <v>14509.792276676384</v>
      </c>
      <c r="O7" s="2">
        <f t="shared" si="7"/>
        <v>17775.078981620289</v>
      </c>
      <c r="P7" s="2">
        <f t="shared" si="7"/>
        <v>21766.556096452536</v>
      </c>
      <c r="Q7" s="2">
        <f t="shared" si="7"/>
        <v>26643.289039412179</v>
      </c>
    </row>
    <row r="8" spans="1:21" x14ac:dyDescent="0.25">
      <c r="A8" s="2" t="s">
        <v>26</v>
      </c>
      <c r="H8" s="2">
        <v>3906</v>
      </c>
      <c r="I8" s="2">
        <v>5880</v>
      </c>
      <c r="J8" s="2">
        <v>7830</v>
      </c>
      <c r="K8" s="2">
        <v>9921</v>
      </c>
      <c r="L8" s="2">
        <f t="shared" si="7"/>
        <v>12872.548000000001</v>
      </c>
      <c r="M8" s="2">
        <f t="shared" si="7"/>
        <v>16734.312400000003</v>
      </c>
      <c r="N8" s="2">
        <f t="shared" si="7"/>
        <v>21754.606120000004</v>
      </c>
      <c r="O8" s="2">
        <f t="shared" si="7"/>
        <v>28280.987956000004</v>
      </c>
      <c r="P8" s="2">
        <f t="shared" si="7"/>
        <v>36765.284342800012</v>
      </c>
      <c r="Q8" s="2">
        <f t="shared" si="7"/>
        <v>47794.869645640021</v>
      </c>
    </row>
    <row r="9" spans="1:21" x14ac:dyDescent="0.25">
      <c r="A9" s="2" t="s">
        <v>27</v>
      </c>
      <c r="H9" s="2">
        <f>SUM(H6:H8)</f>
        <v>40217</v>
      </c>
      <c r="I9" s="2">
        <f>SUM(I6:I8)</f>
        <v>60609</v>
      </c>
      <c r="J9" s="2">
        <f t="shared" ref="J9:P9" si="8">SUM(J6:J8)</f>
        <v>79113</v>
      </c>
      <c r="K9" s="2">
        <f t="shared" si="8"/>
        <v>80240</v>
      </c>
      <c r="L9" s="2">
        <f t="shared" si="8"/>
        <v>94866.78539215443</v>
      </c>
      <c r="M9" s="2">
        <f t="shared" si="8"/>
        <v>124178.11799067564</v>
      </c>
      <c r="N9" s="2">
        <f t="shared" si="8"/>
        <v>147854.49295495724</v>
      </c>
      <c r="O9" s="2">
        <f t="shared" si="8"/>
        <v>174566.50287525414</v>
      </c>
      <c r="P9" s="2">
        <f t="shared" si="8"/>
        <v>206349.05041501645</v>
      </c>
      <c r="Q9" s="2">
        <f t="shared" ref="Q9" si="9">SUM(Q6:Q8)</f>
        <v>244229.32853693084</v>
      </c>
    </row>
    <row r="10" spans="1:21" s="5" customFormat="1" x14ac:dyDescent="0.25">
      <c r="A10" s="5" t="s">
        <v>36</v>
      </c>
      <c r="H10" s="5">
        <f>H5-H9</f>
        <v>13606</v>
      </c>
      <c r="I10" s="5">
        <f>I5-I9</f>
        <v>20853</v>
      </c>
      <c r="J10" s="5">
        <f t="shared" ref="J10:P10" si="10">J5-J9</f>
        <v>17660</v>
      </c>
      <c r="K10" s="5">
        <f t="shared" si="10"/>
        <v>17450</v>
      </c>
      <c r="L10" s="5">
        <f t="shared" si="10"/>
        <v>30197.88332944896</v>
      </c>
      <c r="M10" s="5">
        <f t="shared" si="10"/>
        <v>43929.467135939718</v>
      </c>
      <c r="N10" s="5">
        <f t="shared" si="10"/>
        <v>58089.837983432779</v>
      </c>
      <c r="O10" s="5">
        <f t="shared" si="10"/>
        <v>76343.574309627526</v>
      </c>
      <c r="P10" s="5">
        <f t="shared" si="10"/>
        <v>100824.04807850815</v>
      </c>
      <c r="Q10" s="5">
        <f t="shared" ref="Q10" si="11">Q5-Q9</f>
        <v>133966.50553039816</v>
      </c>
    </row>
    <row r="11" spans="1:21" x14ac:dyDescent="0.25">
      <c r="A11" s="2" t="s">
        <v>37</v>
      </c>
      <c r="H11" s="2">
        <v>2593</v>
      </c>
      <c r="I11" s="2">
        <v>3075</v>
      </c>
      <c r="J11" s="2">
        <v>3969</v>
      </c>
      <c r="K11" s="2">
        <v>4540</v>
      </c>
      <c r="L11" s="2">
        <f t="shared" ref="L11:Q11" si="12">K11*(1+L26)</f>
        <v>5812.1977274652409</v>
      </c>
      <c r="M11" s="2">
        <f t="shared" si="12"/>
        <v>7812.5543707117795</v>
      </c>
      <c r="N11" s="2">
        <f t="shared" si="12"/>
        <v>9570.9618431803738</v>
      </c>
      <c r="O11" s="2">
        <f t="shared" si="12"/>
        <v>11660.679193564978</v>
      </c>
      <c r="P11" s="2">
        <f t="shared" si="12"/>
        <v>14275.420894263501</v>
      </c>
      <c r="Q11" s="2">
        <f t="shared" si="12"/>
        <v>17576.09874772928</v>
      </c>
    </row>
    <row r="12" spans="1:21" x14ac:dyDescent="0.25">
      <c r="A12" s="2" t="s">
        <v>38</v>
      </c>
      <c r="H12" s="2">
        <v>4517</v>
      </c>
      <c r="I12" s="2">
        <v>3946</v>
      </c>
      <c r="J12" s="2">
        <v>4800</v>
      </c>
      <c r="K12" s="2">
        <v>5150</v>
      </c>
      <c r="L12" s="2">
        <f t="shared" ref="L12:Q12" si="13">K12*(1+L26)</f>
        <v>6593.1317833581479</v>
      </c>
      <c r="M12" s="2">
        <f t="shared" si="13"/>
        <v>8862.2588125915554</v>
      </c>
      <c r="N12" s="2">
        <f t="shared" si="13"/>
        <v>10856.928082021788</v>
      </c>
      <c r="O12" s="2">
        <f t="shared" si="13"/>
        <v>13227.422433228994</v>
      </c>
      <c r="P12" s="2">
        <f t="shared" si="13"/>
        <v>16193.484054065426</v>
      </c>
      <c r="Q12" s="2">
        <f t="shared" si="13"/>
        <v>19937.645055243567</v>
      </c>
    </row>
    <row r="13" spans="1:21" x14ac:dyDescent="0.25">
      <c r="A13" s="2" t="s">
        <v>39</v>
      </c>
      <c r="H13" s="2">
        <f>SUM(H11:H12)</f>
        <v>7110</v>
      </c>
      <c r="I13" s="2">
        <f>SUM(I11:I12)</f>
        <v>7021</v>
      </c>
      <c r="J13" s="2">
        <f t="shared" ref="J13:L13" si="14">SUM(J11:J12)</f>
        <v>8769</v>
      </c>
      <c r="K13" s="2">
        <f t="shared" si="14"/>
        <v>9690</v>
      </c>
      <c r="L13" s="2">
        <f t="shared" si="14"/>
        <v>12405.329510823389</v>
      </c>
      <c r="M13" s="2">
        <f t="shared" ref="M13" si="15">SUM(M11:M12)</f>
        <v>16674.813183303333</v>
      </c>
      <c r="N13" s="2">
        <f t="shared" ref="N13" si="16">SUM(N11:N12)</f>
        <v>20427.889925202162</v>
      </c>
      <c r="O13" s="2">
        <f t="shared" ref="O13" si="17">SUM(O11:O12)</f>
        <v>24888.10162679397</v>
      </c>
      <c r="P13" s="2">
        <f t="shared" ref="P13:Q13" si="18">SUM(P11:P12)</f>
        <v>30468.904948328927</v>
      </c>
      <c r="Q13" s="2">
        <f t="shared" si="18"/>
        <v>37513.743802972851</v>
      </c>
    </row>
    <row r="14" spans="1:21" x14ac:dyDescent="0.25">
      <c r="A14" s="2" t="s">
        <v>40</v>
      </c>
      <c r="H14" s="2">
        <f>H10-H13</f>
        <v>6496</v>
      </c>
      <c r="I14" s="2">
        <f>I10-I13</f>
        <v>13832</v>
      </c>
      <c r="J14" s="2">
        <f t="shared" ref="J14:P14" si="19">J10-J13</f>
        <v>8891</v>
      </c>
      <c r="K14" s="2">
        <f t="shared" si="19"/>
        <v>7760</v>
      </c>
      <c r="L14" s="2">
        <f t="shared" si="19"/>
        <v>17792.553818625573</v>
      </c>
      <c r="M14" s="2">
        <f t="shared" si="19"/>
        <v>27254.653952636385</v>
      </c>
      <c r="N14" s="2">
        <f t="shared" si="19"/>
        <v>37661.948058230613</v>
      </c>
      <c r="O14" s="2">
        <f t="shared" si="19"/>
        <v>51455.472682833555</v>
      </c>
      <c r="P14" s="2">
        <f t="shared" si="19"/>
        <v>70355.143130179218</v>
      </c>
      <c r="Q14" s="2">
        <f t="shared" ref="Q14" si="20">Q10-Q13</f>
        <v>96452.761727425313</v>
      </c>
    </row>
    <row r="15" spans="1:21" x14ac:dyDescent="0.25">
      <c r="A15" s="2" t="s">
        <v>43</v>
      </c>
      <c r="B15" s="5"/>
      <c r="C15" s="5"/>
      <c r="D15" s="5"/>
      <c r="E15" s="5"/>
      <c r="F15" s="5"/>
      <c r="G15" s="5"/>
      <c r="H15" s="2">
        <v>56</v>
      </c>
      <c r="I15" s="2">
        <f>296-191</f>
        <v>105</v>
      </c>
      <c r="J15" s="2">
        <f>1066-156</f>
        <v>910</v>
      </c>
      <c r="K15" s="2">
        <f>1569-350</f>
        <v>1219</v>
      </c>
      <c r="L15" s="2">
        <f t="shared" ref="L15:Q15" si="21">K89*$T$21</f>
        <v>2193.7799999999997</v>
      </c>
      <c r="M15" s="2">
        <f t="shared" si="21"/>
        <v>3141.1322230028518</v>
      </c>
      <c r="N15" s="2">
        <f t="shared" si="21"/>
        <v>4581.8924877281515</v>
      </c>
      <c r="O15" s="2">
        <f t="shared" si="21"/>
        <v>6584.2505296065965</v>
      </c>
      <c r="P15" s="2">
        <f t="shared" si="21"/>
        <v>9335.3334098762589</v>
      </c>
      <c r="Q15" s="2">
        <f t="shared" si="21"/>
        <v>13112.661997874888</v>
      </c>
    </row>
    <row r="16" spans="1:21" x14ac:dyDescent="0.25">
      <c r="A16" s="2" t="s">
        <v>41</v>
      </c>
      <c r="H16" s="2">
        <f>H14+H15</f>
        <v>6552</v>
      </c>
      <c r="I16" s="2">
        <f>I14+I15</f>
        <v>13937</v>
      </c>
      <c r="J16" s="2">
        <f t="shared" ref="J16:P16" si="22">J14+J15</f>
        <v>9801</v>
      </c>
      <c r="K16" s="2">
        <f t="shared" si="22"/>
        <v>8979</v>
      </c>
      <c r="L16" s="2">
        <f t="shared" si="22"/>
        <v>19986.333818625571</v>
      </c>
      <c r="M16" s="2">
        <f t="shared" si="22"/>
        <v>30395.786175639238</v>
      </c>
      <c r="N16" s="2">
        <f t="shared" si="22"/>
        <v>42243.840545958767</v>
      </c>
      <c r="O16" s="2">
        <f t="shared" si="22"/>
        <v>58039.723212440149</v>
      </c>
      <c r="P16" s="2">
        <f t="shared" si="22"/>
        <v>79690.476540055475</v>
      </c>
      <c r="Q16" s="2">
        <f t="shared" ref="Q16" si="23">Q14+Q15</f>
        <v>109565.42372530021</v>
      </c>
    </row>
    <row r="17" spans="1:168" x14ac:dyDescent="0.25">
      <c r="A17" s="2" t="s">
        <v>42</v>
      </c>
      <c r="H17" s="2">
        <v>699</v>
      </c>
      <c r="I17" s="2">
        <v>1132</v>
      </c>
      <c r="J17" s="2">
        <v>-5001</v>
      </c>
      <c r="K17" s="2">
        <v>1837</v>
      </c>
      <c r="L17" s="2">
        <f t="shared" ref="L17:Q17" si="24">L16*L28</f>
        <v>4197.1301019113698</v>
      </c>
      <c r="M17" s="2">
        <f t="shared" si="24"/>
        <v>6383.1150968842394</v>
      </c>
      <c r="N17" s="2">
        <f t="shared" si="24"/>
        <v>8871.2065146513414</v>
      </c>
      <c r="O17" s="2">
        <f t="shared" si="24"/>
        <v>12188.341874612432</v>
      </c>
      <c r="P17" s="2">
        <f t="shared" si="24"/>
        <v>16735.000073411647</v>
      </c>
      <c r="Q17" s="2">
        <f t="shared" si="24"/>
        <v>23008.738982313043</v>
      </c>
    </row>
    <row r="18" spans="1:168" x14ac:dyDescent="0.25">
      <c r="A18" s="5" t="s">
        <v>20</v>
      </c>
      <c r="B18" s="5"/>
      <c r="C18" s="5"/>
      <c r="D18" s="5"/>
      <c r="E18" s="5"/>
      <c r="F18" s="5"/>
      <c r="G18" s="5"/>
      <c r="H18" s="5">
        <f>H16-H17</f>
        <v>5853</v>
      </c>
      <c r="I18" s="5">
        <f>I16-I17</f>
        <v>12805</v>
      </c>
      <c r="J18" s="5">
        <f t="shared" ref="J18:K18" si="25">J16-J17</f>
        <v>14802</v>
      </c>
      <c r="K18" s="5">
        <f t="shared" si="25"/>
        <v>7142</v>
      </c>
      <c r="L18" s="5">
        <f t="shared" ref="L18" si="26">L16-L17</f>
        <v>15789.203716714201</v>
      </c>
      <c r="M18" s="5">
        <f t="shared" ref="M18" si="27">M16-M17</f>
        <v>24012.671078754996</v>
      </c>
      <c r="N18" s="5">
        <f t="shared" ref="N18" si="28">N16-N17</f>
        <v>33372.634031307425</v>
      </c>
      <c r="O18" s="5">
        <f t="shared" ref="O18" si="29">O16-O17</f>
        <v>45851.381337827719</v>
      </c>
      <c r="P18" s="5">
        <f t="shared" ref="P18:Q18" si="30">P16-P17</f>
        <v>62955.476466643828</v>
      </c>
      <c r="Q18" s="5">
        <f t="shared" si="30"/>
        <v>86556.684742987156</v>
      </c>
      <c r="R18" s="5">
        <f t="shared" ref="R18:AW18" si="31">Q18*(1+$T$22)</f>
        <v>87422.251590417029</v>
      </c>
      <c r="S18" s="5">
        <f t="shared" si="31"/>
        <v>88296.474106321199</v>
      </c>
      <c r="T18" s="5">
        <f t="shared" si="31"/>
        <v>89179.438847384416</v>
      </c>
      <c r="U18" s="5">
        <f t="shared" si="31"/>
        <v>90071.233235858264</v>
      </c>
      <c r="V18" s="5">
        <f t="shared" si="31"/>
        <v>90971.945568216848</v>
      </c>
      <c r="W18" s="5">
        <f t="shared" si="31"/>
        <v>91881.665023899011</v>
      </c>
      <c r="X18" s="5">
        <f t="shared" si="31"/>
        <v>92800.481674138005</v>
      </c>
      <c r="Y18" s="5">
        <f t="shared" si="31"/>
        <v>93728.486490879382</v>
      </c>
      <c r="Z18" s="5">
        <f t="shared" si="31"/>
        <v>94665.77135578818</v>
      </c>
      <c r="AA18" s="5">
        <f t="shared" si="31"/>
        <v>95612.429069346064</v>
      </c>
      <c r="AB18" s="5">
        <f t="shared" si="31"/>
        <v>96568.553360039528</v>
      </c>
      <c r="AC18" s="5">
        <f t="shared" si="31"/>
        <v>97534.238893639922</v>
      </c>
      <c r="AD18" s="5">
        <f t="shared" si="31"/>
        <v>98509.581282576328</v>
      </c>
      <c r="AE18" s="5">
        <f t="shared" si="31"/>
        <v>99494.67709540209</v>
      </c>
      <c r="AF18" s="5">
        <f t="shared" si="31"/>
        <v>100489.62386635611</v>
      </c>
      <c r="AG18" s="5">
        <f t="shared" si="31"/>
        <v>101494.52010501968</v>
      </c>
      <c r="AH18" s="5">
        <f t="shared" si="31"/>
        <v>102509.46530606988</v>
      </c>
      <c r="AI18" s="5">
        <f t="shared" si="31"/>
        <v>103534.55995913058</v>
      </c>
      <c r="AJ18" s="5">
        <f t="shared" si="31"/>
        <v>104569.90555872189</v>
      </c>
      <c r="AK18" s="5">
        <f t="shared" si="31"/>
        <v>105615.60461430911</v>
      </c>
      <c r="AL18" s="5">
        <f t="shared" si="31"/>
        <v>106671.7606604522</v>
      </c>
      <c r="AM18" s="5">
        <f t="shared" si="31"/>
        <v>107738.47826705672</v>
      </c>
      <c r="AN18" s="5">
        <f t="shared" si="31"/>
        <v>108815.8630497273</v>
      </c>
      <c r="AO18" s="5">
        <f t="shared" si="31"/>
        <v>109904.02168022457</v>
      </c>
      <c r="AP18" s="5">
        <f t="shared" si="31"/>
        <v>111003.06189702681</v>
      </c>
      <c r="AQ18" s="5">
        <f t="shared" si="31"/>
        <v>112113.09251599708</v>
      </c>
      <c r="AR18" s="5">
        <f t="shared" si="31"/>
        <v>113234.22344115705</v>
      </c>
      <c r="AS18" s="5">
        <f t="shared" si="31"/>
        <v>114366.56567556862</v>
      </c>
      <c r="AT18" s="5">
        <f t="shared" si="31"/>
        <v>115510.23133232431</v>
      </c>
      <c r="AU18" s="5">
        <f t="shared" si="31"/>
        <v>116665.33364564755</v>
      </c>
      <c r="AV18" s="5">
        <f t="shared" si="31"/>
        <v>117831.98698210403</v>
      </c>
      <c r="AW18" s="5">
        <f t="shared" si="31"/>
        <v>119010.30685192508</v>
      </c>
      <c r="AX18" s="5">
        <f t="shared" ref="AX18:CC18" si="32">AW18*(1+$T$22)</f>
        <v>120200.40992044433</v>
      </c>
      <c r="AY18" s="5">
        <f t="shared" si="32"/>
        <v>121402.41401964877</v>
      </c>
      <c r="AZ18" s="5">
        <f t="shared" si="32"/>
        <v>122616.43815984526</v>
      </c>
      <c r="BA18" s="5">
        <f t="shared" si="32"/>
        <v>123842.60254144372</v>
      </c>
      <c r="BB18" s="5">
        <f t="shared" si="32"/>
        <v>125081.02856685815</v>
      </c>
      <c r="BC18" s="5">
        <f t="shared" si="32"/>
        <v>126331.83885252674</v>
      </c>
      <c r="BD18" s="5">
        <f t="shared" si="32"/>
        <v>127595.157241052</v>
      </c>
      <c r="BE18" s="5">
        <f t="shared" si="32"/>
        <v>128871.10881346252</v>
      </c>
      <c r="BF18" s="5">
        <f t="shared" si="32"/>
        <v>130159.81990159715</v>
      </c>
      <c r="BG18" s="5">
        <f t="shared" si="32"/>
        <v>131461.41810061311</v>
      </c>
      <c r="BH18" s="5">
        <f t="shared" si="32"/>
        <v>132776.03228161923</v>
      </c>
      <c r="BI18" s="5">
        <f t="shared" si="32"/>
        <v>134103.79260443544</v>
      </c>
      <c r="BJ18" s="5">
        <f t="shared" si="32"/>
        <v>135444.83053047978</v>
      </c>
      <c r="BK18" s="5">
        <f t="shared" si="32"/>
        <v>136799.27883578459</v>
      </c>
      <c r="BL18" s="5">
        <f t="shared" si="32"/>
        <v>138167.27162414242</v>
      </c>
      <c r="BM18" s="5">
        <f t="shared" si="32"/>
        <v>139548.94434038384</v>
      </c>
      <c r="BN18" s="5">
        <f t="shared" si="32"/>
        <v>140944.43378378768</v>
      </c>
      <c r="BO18" s="5">
        <f t="shared" si="32"/>
        <v>142353.87812162554</v>
      </c>
      <c r="BP18" s="5">
        <f t="shared" si="32"/>
        <v>143777.4169028418</v>
      </c>
      <c r="BQ18" s="5">
        <f t="shared" si="32"/>
        <v>145215.19107187021</v>
      </c>
      <c r="BR18" s="5">
        <f t="shared" si="32"/>
        <v>146667.34298258892</v>
      </c>
      <c r="BS18" s="5">
        <f t="shared" si="32"/>
        <v>148134.01641241481</v>
      </c>
      <c r="BT18" s="5">
        <f t="shared" si="32"/>
        <v>149615.35657653896</v>
      </c>
      <c r="BU18" s="5">
        <f t="shared" si="32"/>
        <v>151111.51014230435</v>
      </c>
      <c r="BV18" s="5">
        <f t="shared" si="32"/>
        <v>152622.62524372741</v>
      </c>
      <c r="BW18" s="5">
        <f t="shared" si="32"/>
        <v>154148.85149616469</v>
      </c>
      <c r="BX18" s="5">
        <f t="shared" si="32"/>
        <v>155690.34001112633</v>
      </c>
      <c r="BY18" s="5">
        <f t="shared" si="32"/>
        <v>157247.24341123761</v>
      </c>
      <c r="BZ18" s="5">
        <f t="shared" si="32"/>
        <v>158819.71584534997</v>
      </c>
      <c r="CA18" s="5">
        <f t="shared" si="32"/>
        <v>160407.91300380346</v>
      </c>
      <c r="CB18" s="5">
        <f t="shared" si="32"/>
        <v>162011.9921338415</v>
      </c>
      <c r="CC18" s="5">
        <f t="shared" si="32"/>
        <v>163632.11205517992</v>
      </c>
      <c r="CD18" s="5">
        <f t="shared" ref="CD18:DI18" si="33">CC18*(1+$T$22)</f>
        <v>165268.43317573171</v>
      </c>
      <c r="CE18" s="5">
        <f t="shared" si="33"/>
        <v>166921.11750748902</v>
      </c>
      <c r="CF18" s="5">
        <f t="shared" si="33"/>
        <v>168590.32868256391</v>
      </c>
      <c r="CG18" s="5">
        <f t="shared" si="33"/>
        <v>170276.23196938954</v>
      </c>
      <c r="CH18" s="5">
        <f t="shared" si="33"/>
        <v>171978.99428908344</v>
      </c>
      <c r="CI18" s="5">
        <f t="shared" si="33"/>
        <v>173698.78423197428</v>
      </c>
      <c r="CJ18" s="5">
        <f t="shared" si="33"/>
        <v>175435.77207429401</v>
      </c>
      <c r="CK18" s="5">
        <f t="shared" si="33"/>
        <v>177190.12979503695</v>
      </c>
      <c r="CL18" s="5">
        <f t="shared" si="33"/>
        <v>178962.03109298731</v>
      </c>
      <c r="CM18" s="5">
        <f t="shared" si="33"/>
        <v>180751.65140391717</v>
      </c>
      <c r="CN18" s="5">
        <f t="shared" si="33"/>
        <v>182559.16791795634</v>
      </c>
      <c r="CO18" s="5">
        <f t="shared" si="33"/>
        <v>184384.75959713591</v>
      </c>
      <c r="CP18" s="5">
        <f t="shared" si="33"/>
        <v>186228.60719310728</v>
      </c>
      <c r="CQ18" s="5">
        <f t="shared" si="33"/>
        <v>188090.89326503835</v>
      </c>
      <c r="CR18" s="5">
        <f t="shared" si="33"/>
        <v>189971.80219768872</v>
      </c>
      <c r="CS18" s="5">
        <f t="shared" si="33"/>
        <v>191871.5202196656</v>
      </c>
      <c r="CT18" s="5">
        <f t="shared" si="33"/>
        <v>193790.23542186225</v>
      </c>
      <c r="CU18" s="5">
        <f t="shared" si="33"/>
        <v>195728.13777608087</v>
      </c>
      <c r="CV18" s="5">
        <f t="shared" si="33"/>
        <v>197685.41915384168</v>
      </c>
      <c r="CW18" s="5">
        <f t="shared" si="33"/>
        <v>199662.27334538009</v>
      </c>
      <c r="CX18" s="5">
        <f t="shared" si="33"/>
        <v>201658.8960788339</v>
      </c>
      <c r="CY18" s="5">
        <f t="shared" si="33"/>
        <v>203675.48503962223</v>
      </c>
      <c r="CZ18" s="5">
        <f t="shared" si="33"/>
        <v>205712.23989001845</v>
      </c>
      <c r="DA18" s="5">
        <f t="shared" si="33"/>
        <v>207769.36228891864</v>
      </c>
      <c r="DB18" s="5">
        <f t="shared" si="33"/>
        <v>209847.05591180784</v>
      </c>
      <c r="DC18" s="5">
        <f t="shared" si="33"/>
        <v>211945.52647092592</v>
      </c>
      <c r="DD18" s="5">
        <f t="shared" si="33"/>
        <v>214064.98173563517</v>
      </c>
      <c r="DE18" s="5">
        <f t="shared" si="33"/>
        <v>216205.63155299152</v>
      </c>
      <c r="DF18" s="5">
        <f t="shared" si="33"/>
        <v>218367.68786852143</v>
      </c>
      <c r="DG18" s="5">
        <f t="shared" si="33"/>
        <v>220551.36474720665</v>
      </c>
      <c r="DH18" s="5">
        <f t="shared" si="33"/>
        <v>222756.87839467873</v>
      </c>
      <c r="DI18" s="5">
        <f t="shared" si="33"/>
        <v>224984.44717862553</v>
      </c>
      <c r="DJ18" s="5">
        <f t="shared" ref="DJ18:EO18" si="34">DI18*(1+$T$22)</f>
        <v>227234.29165041179</v>
      </c>
      <c r="DK18" s="5">
        <f t="shared" si="34"/>
        <v>229506.63456691592</v>
      </c>
      <c r="DL18" s="5">
        <f t="shared" si="34"/>
        <v>231801.70091258507</v>
      </c>
      <c r="DM18" s="5">
        <f t="shared" si="34"/>
        <v>234119.71792171092</v>
      </c>
      <c r="DN18" s="5">
        <f t="shared" si="34"/>
        <v>236460.91510092805</v>
      </c>
      <c r="DO18" s="5">
        <f t="shared" si="34"/>
        <v>238825.52425193734</v>
      </c>
      <c r="DP18" s="5">
        <f t="shared" si="34"/>
        <v>241213.77949445671</v>
      </c>
      <c r="DQ18" s="5">
        <f t="shared" si="34"/>
        <v>243625.91728940129</v>
      </c>
      <c r="DR18" s="5">
        <f t="shared" si="34"/>
        <v>246062.17646229529</v>
      </c>
      <c r="DS18" s="5">
        <f t="shared" si="34"/>
        <v>248522.79822691824</v>
      </c>
      <c r="DT18" s="5">
        <f t="shared" si="34"/>
        <v>251008.02620918743</v>
      </c>
      <c r="DU18" s="5">
        <f t="shared" si="34"/>
        <v>253518.10647127932</v>
      </c>
      <c r="DV18" s="5">
        <f t="shared" si="34"/>
        <v>256053.2875359921</v>
      </c>
      <c r="DW18" s="5">
        <f t="shared" si="34"/>
        <v>258613.82041135203</v>
      </c>
      <c r="DX18" s="5">
        <f t="shared" si="34"/>
        <v>261199.95861546556</v>
      </c>
      <c r="DY18" s="5">
        <f t="shared" si="34"/>
        <v>263811.9582016202</v>
      </c>
      <c r="DZ18" s="5">
        <f t="shared" si="34"/>
        <v>266450.0777836364</v>
      </c>
      <c r="EA18" s="5">
        <f t="shared" si="34"/>
        <v>269114.57856147276</v>
      </c>
      <c r="EB18" s="5">
        <f t="shared" si="34"/>
        <v>271805.7243470875</v>
      </c>
      <c r="EC18" s="5">
        <f t="shared" si="34"/>
        <v>274523.78159055836</v>
      </c>
      <c r="ED18" s="5">
        <f t="shared" si="34"/>
        <v>277269.01940646395</v>
      </c>
      <c r="EE18" s="5">
        <f t="shared" si="34"/>
        <v>280041.70960052859</v>
      </c>
      <c r="EF18" s="5">
        <f t="shared" si="34"/>
        <v>282842.12669653387</v>
      </c>
      <c r="EG18" s="5">
        <f t="shared" si="34"/>
        <v>285670.54796349921</v>
      </c>
      <c r="EH18" s="5">
        <f t="shared" si="34"/>
        <v>288527.25344313419</v>
      </c>
      <c r="EI18" s="5">
        <f t="shared" si="34"/>
        <v>291412.52597756556</v>
      </c>
      <c r="EJ18" s="5">
        <f t="shared" si="34"/>
        <v>294326.65123734123</v>
      </c>
      <c r="EK18" s="5">
        <f t="shared" si="34"/>
        <v>297269.91774971463</v>
      </c>
      <c r="EL18" s="5">
        <f t="shared" si="34"/>
        <v>300242.61692721175</v>
      </c>
      <c r="EM18" s="5">
        <f t="shared" si="34"/>
        <v>303245.04309648386</v>
      </c>
      <c r="EN18" s="5">
        <f t="shared" si="34"/>
        <v>306277.49352744868</v>
      </c>
      <c r="EO18" s="5">
        <f t="shared" si="34"/>
        <v>309340.26846272318</v>
      </c>
      <c r="EP18" s="5">
        <f t="shared" ref="EP18:FL18" si="35">EO18*(1+$T$22)</f>
        <v>312433.6711473504</v>
      </c>
      <c r="EQ18" s="5">
        <f t="shared" si="35"/>
        <v>315558.00785882393</v>
      </c>
      <c r="ER18" s="5">
        <f t="shared" si="35"/>
        <v>318713.58793741214</v>
      </c>
      <c r="ES18" s="5">
        <f t="shared" si="35"/>
        <v>321900.72381678625</v>
      </c>
      <c r="ET18" s="5">
        <f t="shared" si="35"/>
        <v>325119.73105495411</v>
      </c>
      <c r="EU18" s="5">
        <f t="shared" si="35"/>
        <v>328370.92836550367</v>
      </c>
      <c r="EV18" s="5">
        <f t="shared" si="35"/>
        <v>331654.63764915871</v>
      </c>
      <c r="EW18" s="5">
        <f t="shared" si="35"/>
        <v>334971.18402565032</v>
      </c>
      <c r="EX18" s="5">
        <f t="shared" si="35"/>
        <v>338320.89586590684</v>
      </c>
      <c r="EY18" s="5">
        <f t="shared" si="35"/>
        <v>341704.10482456593</v>
      </c>
      <c r="EZ18" s="5">
        <f t="shared" si="35"/>
        <v>345121.14587281161</v>
      </c>
      <c r="FA18" s="5">
        <f t="shared" si="35"/>
        <v>348572.35733153974</v>
      </c>
      <c r="FB18" s="5">
        <f t="shared" si="35"/>
        <v>352058.08090485516</v>
      </c>
      <c r="FC18" s="5">
        <f t="shared" si="35"/>
        <v>355578.66171390371</v>
      </c>
      <c r="FD18" s="5">
        <f t="shared" si="35"/>
        <v>359134.44833104277</v>
      </c>
      <c r="FE18" s="5">
        <f t="shared" si="35"/>
        <v>362725.79281435319</v>
      </c>
      <c r="FF18" s="5">
        <f t="shared" si="35"/>
        <v>366353.05074249674</v>
      </c>
      <c r="FG18" s="5">
        <f t="shared" si="35"/>
        <v>370016.5812499217</v>
      </c>
      <c r="FH18" s="5">
        <f t="shared" si="35"/>
        <v>373716.74706242094</v>
      </c>
      <c r="FI18" s="5">
        <f t="shared" si="35"/>
        <v>377453.91453304514</v>
      </c>
      <c r="FJ18" s="5">
        <f t="shared" si="35"/>
        <v>381228.45367837558</v>
      </c>
      <c r="FK18" s="5">
        <f t="shared" si="35"/>
        <v>385040.73821515933</v>
      </c>
      <c r="FL18" s="5">
        <f t="shared" si="35"/>
        <v>388891.14559731091</v>
      </c>
    </row>
    <row r="19" spans="1:168" x14ac:dyDescent="0.25">
      <c r="A19" s="2" t="s">
        <v>45</v>
      </c>
      <c r="H19" s="6">
        <f>H18/Sheet1!$F$3</f>
        <v>1.8199626865671641</v>
      </c>
      <c r="I19" s="6">
        <f>I18/Sheet1!$F$3</f>
        <v>3.9816542288557213</v>
      </c>
      <c r="J19" s="6">
        <f>J18/Sheet1!$F$3</f>
        <v>4.6026119402985071</v>
      </c>
      <c r="K19" s="6">
        <f>K18/Sheet1!$F$3</f>
        <v>2.2207711442786069</v>
      </c>
      <c r="L19" s="6">
        <f>L18/Sheet1!$F$3</f>
        <v>4.9095782701225748</v>
      </c>
      <c r="M19" s="6">
        <f>M18/Sheet1!$F$3</f>
        <v>7.4666265792148625</v>
      </c>
      <c r="N19" s="6">
        <f>N18/Sheet1!$F$3</f>
        <v>10.37706282068017</v>
      </c>
      <c r="O19" s="6">
        <f>O18/Sheet1!$F$3</f>
        <v>14.257270316488718</v>
      </c>
      <c r="P19" s="6">
        <f>P18/Sheet1!$F$3</f>
        <v>19.575707856543477</v>
      </c>
      <c r="Q19" s="6">
        <f>Q18/Sheet1!$F$3</f>
        <v>26.91439202207312</v>
      </c>
      <c r="R19" s="6"/>
      <c r="S19" s="6"/>
      <c r="T19" s="6"/>
      <c r="U19" s="6"/>
    </row>
    <row r="20" spans="1:168" x14ac:dyDescent="0.25">
      <c r="H20" s="4"/>
      <c r="I20" s="4"/>
      <c r="J20" s="4"/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168" x14ac:dyDescent="0.25">
      <c r="A21" s="2" t="s">
        <v>30</v>
      </c>
      <c r="H21" s="4">
        <f t="shared" ref="H21:K23" si="36">H2/H6-1</f>
        <v>0.41442817356931094</v>
      </c>
      <c r="I21" s="4">
        <f t="shared" si="36"/>
        <v>0.39825467637160528</v>
      </c>
      <c r="J21" s="4">
        <f t="shared" si="36"/>
        <v>0.24145566283571074</v>
      </c>
      <c r="K21" s="4">
        <f t="shared" si="36"/>
        <v>0.22580439934471075</v>
      </c>
      <c r="L21" s="4">
        <f>K21*1.1</f>
        <v>0.24838483927918184</v>
      </c>
      <c r="M21" s="4">
        <f t="shared" ref="M21:Q21" si="37">L21*1.1</f>
        <v>0.27322332320710002</v>
      </c>
      <c r="N21" s="4">
        <f t="shared" si="37"/>
        <v>0.30054565552781004</v>
      </c>
      <c r="O21" s="4">
        <f t="shared" si="37"/>
        <v>0.33060022108059106</v>
      </c>
      <c r="P21" s="4">
        <f t="shared" si="37"/>
        <v>0.3636602431886502</v>
      </c>
      <c r="Q21" s="4">
        <f t="shared" si="37"/>
        <v>0.40002626750751524</v>
      </c>
      <c r="R21" s="4"/>
      <c r="S21" s="2" t="s">
        <v>85</v>
      </c>
      <c r="T21" s="4">
        <v>0.06</v>
      </c>
      <c r="U21" s="4"/>
    </row>
    <row r="22" spans="1:168" x14ac:dyDescent="0.25">
      <c r="A22" s="2" t="s">
        <v>29</v>
      </c>
      <c r="H22" s="4">
        <f t="shared" si="36"/>
        <v>-4.4208361891706627E-2</v>
      </c>
      <c r="I22" s="4">
        <f t="shared" si="36"/>
        <v>7.9536039768019817E-2</v>
      </c>
      <c r="J22" s="4">
        <f t="shared" si="36"/>
        <v>0.2331426236207601</v>
      </c>
      <c r="K22" s="4">
        <f t="shared" si="36"/>
        <v>0.35455278001611612</v>
      </c>
      <c r="L22" s="4">
        <f>K22*1.02</f>
        <v>0.36164383561643842</v>
      </c>
      <c r="M22" s="4">
        <f t="shared" ref="M22:Q22" si="38">L22*1.02</f>
        <v>0.36887671232876718</v>
      </c>
      <c r="N22" s="4">
        <f t="shared" si="38"/>
        <v>0.37625424657534251</v>
      </c>
      <c r="O22" s="4">
        <f t="shared" si="38"/>
        <v>0.38377933150684934</v>
      </c>
      <c r="P22" s="4">
        <f t="shared" si="38"/>
        <v>0.39145491813698635</v>
      </c>
      <c r="Q22" s="4">
        <f t="shared" si="38"/>
        <v>0.39928401649972611</v>
      </c>
      <c r="R22" s="4"/>
      <c r="S22" s="2" t="s">
        <v>16</v>
      </c>
      <c r="T22" s="4">
        <v>0.01</v>
      </c>
      <c r="U22" s="4"/>
    </row>
    <row r="23" spans="1:168" x14ac:dyDescent="0.25">
      <c r="A23" s="2" t="s">
        <v>28</v>
      </c>
      <c r="H23" s="4">
        <f t="shared" si="36"/>
        <v>-2.6625704045058929E-2</v>
      </c>
      <c r="I23" s="4">
        <f t="shared" si="36"/>
        <v>3.5884353741496566E-2</v>
      </c>
      <c r="J23" s="4">
        <f t="shared" si="36"/>
        <v>6.2452107279693525E-2</v>
      </c>
      <c r="K23" s="4">
        <f t="shared" si="36"/>
        <v>6.178812619695595E-2</v>
      </c>
      <c r="L23" s="4">
        <v>0.06</v>
      </c>
      <c r="M23" s="4">
        <v>0.06</v>
      </c>
      <c r="N23" s="4">
        <v>0.06</v>
      </c>
      <c r="O23" s="4">
        <v>0.06</v>
      </c>
      <c r="P23" s="4">
        <v>0.06</v>
      </c>
      <c r="Q23" s="4">
        <v>0.06</v>
      </c>
      <c r="R23" s="4"/>
      <c r="S23" s="2" t="s">
        <v>17</v>
      </c>
      <c r="T23" s="8">
        <v>0.09</v>
      </c>
      <c r="U23" s="4"/>
      <c r="AA23" s="4"/>
    </row>
    <row r="24" spans="1:168" x14ac:dyDescent="0.25">
      <c r="S24" s="2" t="s">
        <v>18</v>
      </c>
      <c r="T24" s="2">
        <f>NPV(T23,L18:FL18)+Sheet1!F5-Sheet1!F6+SUM(L55:L56)+T46</f>
        <v>1082305.1661014881</v>
      </c>
    </row>
    <row r="25" spans="1:168" x14ac:dyDescent="0.25">
      <c r="A25" s="2" t="s">
        <v>80</v>
      </c>
      <c r="H25" s="4">
        <f t="shared" ref="H25:Q25" si="39">H14/H5</f>
        <v>0.12069189751593185</v>
      </c>
      <c r="I25" s="4">
        <f t="shared" si="39"/>
        <v>0.16979696054602145</v>
      </c>
      <c r="J25" s="4">
        <f t="shared" si="39"/>
        <v>9.1874799789197395E-2</v>
      </c>
      <c r="K25" s="4">
        <f t="shared" si="39"/>
        <v>7.9434947282219268E-2</v>
      </c>
      <c r="L25" s="4">
        <f t="shared" si="39"/>
        <v>0.1422668288374247</v>
      </c>
      <c r="M25" s="4">
        <f t="shared" si="39"/>
        <v>0.16212625939578343</v>
      </c>
      <c r="N25" s="4">
        <f t="shared" si="39"/>
        <v>0.18287441021864059</v>
      </c>
      <c r="O25" s="4">
        <f t="shared" si="39"/>
        <v>0.20507535313106967</v>
      </c>
      <c r="P25" s="4">
        <f t="shared" si="39"/>
        <v>0.22904070530662812</v>
      </c>
      <c r="Q25" s="4">
        <f t="shared" si="39"/>
        <v>0.25503390846514223</v>
      </c>
      <c r="R25" s="4"/>
      <c r="S25" s="2" t="s">
        <v>1</v>
      </c>
      <c r="T25" s="2">
        <f>T24/Sheet1!F3</f>
        <v>336.53767602658212</v>
      </c>
      <c r="U25" s="4"/>
    </row>
    <row r="26" spans="1:168" x14ac:dyDescent="0.25">
      <c r="A26" s="5" t="s">
        <v>31</v>
      </c>
      <c r="B26" s="5"/>
      <c r="C26" s="5"/>
      <c r="D26" s="5"/>
      <c r="E26" s="5"/>
      <c r="F26" s="5"/>
      <c r="G26" s="5"/>
      <c r="H26" s="5"/>
      <c r="I26" s="9">
        <f t="shared" ref="I26:Q26" si="40">I5/H5-1</f>
        <v>0.51351652639206291</v>
      </c>
      <c r="J26" s="9">
        <f t="shared" si="40"/>
        <v>0.18795266504627928</v>
      </c>
      <c r="K26" s="9">
        <f t="shared" si="40"/>
        <v>9.4757835346634955E-3</v>
      </c>
      <c r="L26" s="9">
        <f t="shared" si="40"/>
        <v>0.2802197637588637</v>
      </c>
      <c r="M26" s="9">
        <f t="shared" si="40"/>
        <v>0.34416527741201164</v>
      </c>
      <c r="N26" s="9">
        <f t="shared" si="40"/>
        <v>0.22507459008037478</v>
      </c>
      <c r="O26" s="9">
        <f t="shared" si="40"/>
        <v>0.21833932520309829</v>
      </c>
      <c r="P26" s="9">
        <f t="shared" si="40"/>
        <v>0.22423579770048785</v>
      </c>
      <c r="Q26" s="9">
        <f t="shared" si="40"/>
        <v>0.23121404811203417</v>
      </c>
      <c r="R26" s="9"/>
      <c r="S26" s="2" t="s">
        <v>19</v>
      </c>
      <c r="T26" s="4">
        <f>T25/Sheet1!F2-1</f>
        <v>0.33546696835945289</v>
      </c>
      <c r="U26" s="9"/>
    </row>
    <row r="27" spans="1:168" x14ac:dyDescent="0.25">
      <c r="A27" s="2" t="s">
        <v>32</v>
      </c>
      <c r="H27" s="4">
        <f t="shared" ref="H27:Q27" si="41">H5/H9-1</f>
        <v>0.33831464306139192</v>
      </c>
      <c r="I27" s="4">
        <f t="shared" si="41"/>
        <v>0.34405781319605988</v>
      </c>
      <c r="J27" s="4">
        <f t="shared" si="41"/>
        <v>0.22322500726808481</v>
      </c>
      <c r="K27" s="4">
        <f t="shared" si="41"/>
        <v>0.21747258225324018</v>
      </c>
      <c r="L27" s="4">
        <f t="shared" si="41"/>
        <v>0.31831882154137325</v>
      </c>
      <c r="M27" s="4">
        <f t="shared" si="41"/>
        <v>0.3537617403674802</v>
      </c>
      <c r="N27" s="4">
        <f t="shared" si="41"/>
        <v>0.39288517259417621</v>
      </c>
      <c r="O27" s="4">
        <f t="shared" si="41"/>
        <v>0.43733232351101692</v>
      </c>
      <c r="P27" s="4">
        <f t="shared" si="41"/>
        <v>0.48860921761320086</v>
      </c>
      <c r="Q27" s="4">
        <f t="shared" si="41"/>
        <v>0.5485275103237266</v>
      </c>
      <c r="R27" s="4"/>
      <c r="S27" s="4"/>
      <c r="T27" s="4"/>
      <c r="U27" s="4"/>
    </row>
    <row r="28" spans="1:168" x14ac:dyDescent="0.25">
      <c r="A28" s="2" t="s">
        <v>44</v>
      </c>
      <c r="H28" s="4">
        <f>H17/H16</f>
        <v>0.10668498168498168</v>
      </c>
      <c r="I28" s="4">
        <f>I17/I16</f>
        <v>8.1222644758556367E-2</v>
      </c>
      <c r="J28" s="4">
        <f>J17/J16</f>
        <v>-0.51025405570860116</v>
      </c>
      <c r="K28" s="4">
        <f>K17/K16</f>
        <v>0.20458848424100678</v>
      </c>
      <c r="L28" s="4">
        <v>0.21</v>
      </c>
      <c r="M28" s="4">
        <v>0.21</v>
      </c>
      <c r="N28" s="4">
        <v>0.21</v>
      </c>
      <c r="O28" s="4">
        <v>0.21</v>
      </c>
      <c r="P28" s="4">
        <v>0.21</v>
      </c>
      <c r="Q28" s="4">
        <v>0.21</v>
      </c>
      <c r="R28" s="4"/>
      <c r="S28" s="4"/>
      <c r="T28" s="4"/>
      <c r="U28" s="4"/>
    </row>
    <row r="30" spans="1:168" x14ac:dyDescent="0.25">
      <c r="A30" s="2" t="s">
        <v>33</v>
      </c>
      <c r="I30" s="4">
        <f t="shared" ref="I30:Q30" si="42">I2/H2-1</f>
        <v>0.51299966124661256</v>
      </c>
      <c r="J30" s="4">
        <f t="shared" si="42"/>
        <v>0.15332624331812705</v>
      </c>
      <c r="K30" s="4">
        <f t="shared" si="42"/>
        <v>-6.4900083718560042E-2</v>
      </c>
      <c r="L30" s="4">
        <f t="shared" si="42"/>
        <v>0.24875397329185667</v>
      </c>
      <c r="M30" s="4">
        <f t="shared" si="42"/>
        <v>0.36682416502946968</v>
      </c>
      <c r="N30" s="4">
        <f t="shared" si="42"/>
        <v>0.21280612924716857</v>
      </c>
      <c r="O30" s="4">
        <f t="shared" si="42"/>
        <v>0.20333502759860678</v>
      </c>
      <c r="P30" s="4">
        <f t="shared" si="42"/>
        <v>0.20999370502217984</v>
      </c>
      <c r="Q30" s="4">
        <f t="shared" si="42"/>
        <v>0.21827945556164541</v>
      </c>
      <c r="R30" s="4"/>
      <c r="S30" s="4"/>
      <c r="T30" s="4"/>
      <c r="U30" s="4"/>
    </row>
    <row r="31" spans="1:168" x14ac:dyDescent="0.25">
      <c r="A31" s="2" t="s">
        <v>34</v>
      </c>
      <c r="I31" s="4">
        <f t="shared" ref="I31:Q31" si="43">I3/H3-1</f>
        <v>0.40157762638938688</v>
      </c>
      <c r="J31" s="4">
        <f t="shared" si="43"/>
        <v>0.54387311332821686</v>
      </c>
      <c r="K31" s="4">
        <f t="shared" si="43"/>
        <v>0.67125103562551791</v>
      </c>
      <c r="L31" s="4">
        <f t="shared" si="43"/>
        <v>0.5</v>
      </c>
      <c r="M31" s="4">
        <f t="shared" si="43"/>
        <v>0.24</v>
      </c>
      <c r="N31" s="4">
        <f t="shared" si="43"/>
        <v>0.24</v>
      </c>
      <c r="O31" s="4">
        <f t="shared" si="43"/>
        <v>0.24</v>
      </c>
      <c r="P31" s="4">
        <f t="shared" si="43"/>
        <v>0.24</v>
      </c>
      <c r="Q31" s="4">
        <f t="shared" si="43"/>
        <v>0.24</v>
      </c>
      <c r="R31" s="4"/>
      <c r="S31" s="4"/>
      <c r="T31" s="4"/>
      <c r="U31" s="4"/>
      <c r="Y31" s="4"/>
    </row>
    <row r="32" spans="1:168" x14ac:dyDescent="0.25">
      <c r="A32" s="2" t="s">
        <v>35</v>
      </c>
      <c r="I32" s="4">
        <f t="shared" ref="I32:Q32" si="44">I4/H4-1</f>
        <v>0.60205155181483438</v>
      </c>
      <c r="J32" s="4">
        <f t="shared" si="44"/>
        <v>0.36578558528977179</v>
      </c>
      <c r="K32" s="4">
        <f t="shared" si="44"/>
        <v>0.26625796369755972</v>
      </c>
      <c r="L32" s="4">
        <f t="shared" si="44"/>
        <v>0.30000000000000004</v>
      </c>
      <c r="M32" s="4">
        <f t="shared" si="44"/>
        <v>0.30000000000000004</v>
      </c>
      <c r="N32" s="4">
        <f t="shared" si="44"/>
        <v>0.30000000000000004</v>
      </c>
      <c r="O32" s="4">
        <f t="shared" si="44"/>
        <v>0.30000000000000004</v>
      </c>
      <c r="P32" s="4">
        <f t="shared" si="44"/>
        <v>0.30000000000000027</v>
      </c>
      <c r="Q32" s="4">
        <f t="shared" si="44"/>
        <v>0.30000000000000004</v>
      </c>
      <c r="R32" s="4"/>
      <c r="S32" s="4"/>
      <c r="T32" s="4"/>
      <c r="U32" s="4"/>
      <c r="Y32" s="4"/>
    </row>
    <row r="33" spans="1:167" x14ac:dyDescent="0.25"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Y33" s="4"/>
    </row>
    <row r="34" spans="1:167" x14ac:dyDescent="0.25">
      <c r="A34" s="2" t="s">
        <v>88</v>
      </c>
      <c r="I34" s="4"/>
      <c r="J34" s="4"/>
      <c r="K34" s="4"/>
      <c r="L34" s="2">
        <f t="shared" ref="L34:Q34" si="45">L18*0.73</f>
        <v>11526.118713201366</v>
      </c>
      <c r="M34" s="2">
        <f t="shared" si="45"/>
        <v>17529.249887491147</v>
      </c>
      <c r="N34" s="2">
        <f t="shared" si="45"/>
        <v>24362.022842854421</v>
      </c>
      <c r="O34" s="2">
        <f t="shared" si="45"/>
        <v>33471.508376614234</v>
      </c>
      <c r="P34" s="2">
        <f t="shared" si="45"/>
        <v>45957.497820649995</v>
      </c>
      <c r="Q34" s="2">
        <f t="shared" si="45"/>
        <v>63186.379862380621</v>
      </c>
      <c r="R34" s="5">
        <f t="shared" ref="R34" si="46">Q34*(1+$T$22)</f>
        <v>63818.243661004431</v>
      </c>
      <c r="S34" s="5">
        <f t="shared" ref="S34" si="47">R34*(1+$T$22)</f>
        <v>64456.42609761448</v>
      </c>
      <c r="T34" s="5">
        <f t="shared" ref="T34" si="48">S34*(1+$T$22)</f>
        <v>65100.990358590629</v>
      </c>
      <c r="U34" s="5">
        <f t="shared" ref="U34" si="49">T34*(1+$T$22)</f>
        <v>65752.000262176531</v>
      </c>
      <c r="V34" s="5">
        <f t="shared" ref="V34" si="50">U34*(1+$T$22)</f>
        <v>66409.520264798295</v>
      </c>
      <c r="W34" s="5">
        <f t="shared" ref="W34" si="51">V34*(1+$T$22)</f>
        <v>67073.615467446274</v>
      </c>
      <c r="X34" s="5">
        <f t="shared" ref="X34" si="52">W34*(1+$T$22)</f>
        <v>67744.351622120739</v>
      </c>
      <c r="Y34" s="5">
        <f t="shared" ref="Y34" si="53">X34*(1+$T$22)</f>
        <v>68421.795138341942</v>
      </c>
      <c r="Z34" s="5">
        <f t="shared" ref="Z34" si="54">Y34*(1+$T$22)</f>
        <v>69106.013089725369</v>
      </c>
      <c r="AA34" s="5">
        <f t="shared" ref="AA34" si="55">Z34*(1+$T$22)</f>
        <v>69797.073220622624</v>
      </c>
      <c r="AB34" s="5">
        <f t="shared" ref="AB34" si="56">AA34*(1+$T$22)</f>
        <v>70495.043952828855</v>
      </c>
      <c r="AC34" s="5">
        <f t="shared" ref="AC34" si="57">AB34*(1+$T$22)</f>
        <v>71199.994392357141</v>
      </c>
      <c r="AD34" s="5">
        <f t="shared" ref="AD34" si="58">AC34*(1+$T$22)</f>
        <v>71911.99433628071</v>
      </c>
      <c r="AE34" s="5">
        <f t="shared" ref="AE34" si="59">AD34*(1+$T$22)</f>
        <v>72631.114279643516</v>
      </c>
      <c r="AF34" s="5">
        <f t="shared" ref="AF34" si="60">AE34*(1+$T$22)</f>
        <v>73357.425422439948</v>
      </c>
      <c r="AG34" s="5">
        <f t="shared" ref="AG34" si="61">AF34*(1+$T$22)</f>
        <v>74090.999676664345</v>
      </c>
      <c r="AH34" s="5">
        <f t="shared" ref="AH34" si="62">AG34*(1+$T$22)</f>
        <v>74831.909673430986</v>
      </c>
      <c r="AI34" s="5">
        <f t="shared" ref="AI34" si="63">AH34*(1+$T$22)</f>
        <v>75580.228770165297</v>
      </c>
      <c r="AJ34" s="5">
        <f t="shared" ref="AJ34" si="64">AI34*(1+$T$22)</f>
        <v>76336.031057866945</v>
      </c>
      <c r="AK34" s="5">
        <f t="shared" ref="AK34" si="65">AJ34*(1+$T$22)</f>
        <v>77099.39136844562</v>
      </c>
      <c r="AL34" s="5">
        <f t="shared" ref="AL34" si="66">AK34*(1+$T$22)</f>
        <v>77870.385282130082</v>
      </c>
      <c r="AM34" s="5">
        <f t="shared" ref="AM34" si="67">AL34*(1+$T$22)</f>
        <v>78649.089134951384</v>
      </c>
      <c r="AN34" s="5">
        <f t="shared" ref="AN34" si="68">AM34*(1+$T$22)</f>
        <v>79435.5800263009</v>
      </c>
      <c r="AO34" s="5">
        <f t="shared" ref="AO34" si="69">AN34*(1+$T$22)</f>
        <v>80229.935826563917</v>
      </c>
      <c r="AP34" s="5">
        <f t="shared" ref="AP34" si="70">AO34*(1+$T$22)</f>
        <v>81032.235184829551</v>
      </c>
      <c r="AQ34" s="5">
        <f t="shared" ref="AQ34" si="71">AP34*(1+$T$22)</f>
        <v>81842.55753667785</v>
      </c>
      <c r="AR34" s="5">
        <f t="shared" ref="AR34" si="72">AQ34*(1+$T$22)</f>
        <v>82660.983112044632</v>
      </c>
      <c r="AS34" s="5">
        <f t="shared" ref="AS34" si="73">AR34*(1+$T$22)</f>
        <v>83487.592943165073</v>
      </c>
      <c r="AT34" s="5">
        <f t="shared" ref="AT34" si="74">AS34*(1+$T$22)</f>
        <v>84322.468872596728</v>
      </c>
      <c r="AU34" s="5">
        <f t="shared" ref="AU34" si="75">AT34*(1+$T$22)</f>
        <v>85165.693561322696</v>
      </c>
      <c r="AV34" s="5">
        <f t="shared" ref="AV34" si="76">AU34*(1+$T$22)</f>
        <v>86017.35049693592</v>
      </c>
      <c r="AW34" s="5">
        <f t="shared" ref="AW34" si="77">AV34*(1+$T$22)</f>
        <v>86877.524001905287</v>
      </c>
      <c r="AX34" s="5">
        <f t="shared" ref="AX34" si="78">AW34*(1+$T$22)</f>
        <v>87746.299241924338</v>
      </c>
      <c r="AY34" s="5">
        <f t="shared" ref="AY34" si="79">AX34*(1+$T$22)</f>
        <v>88623.76223434358</v>
      </c>
      <c r="AZ34" s="5">
        <f t="shared" ref="AZ34" si="80">AY34*(1+$T$22)</f>
        <v>89509.99985668702</v>
      </c>
      <c r="BA34" s="5">
        <f t="shared" ref="BA34" si="81">AZ34*(1+$T$22)</f>
        <v>90405.099855253895</v>
      </c>
      <c r="BB34" s="5">
        <f t="shared" ref="BB34" si="82">BA34*(1+$T$22)</f>
        <v>91309.150853806437</v>
      </c>
      <c r="BC34" s="5">
        <f t="shared" ref="BC34" si="83">BB34*(1+$T$22)</f>
        <v>92222.242362344507</v>
      </c>
      <c r="BD34" s="5">
        <f t="shared" ref="BD34" si="84">BC34*(1+$T$22)</f>
        <v>93144.464785967954</v>
      </c>
      <c r="BE34" s="5">
        <f t="shared" ref="BE34" si="85">BD34*(1+$T$22)</f>
        <v>94075.909433827634</v>
      </c>
      <c r="BF34" s="5">
        <f t="shared" ref="BF34" si="86">BE34*(1+$T$22)</f>
        <v>95016.668528165916</v>
      </c>
      <c r="BG34" s="5">
        <f t="shared" ref="BG34" si="87">BF34*(1+$T$22)</f>
        <v>95966.835213447572</v>
      </c>
      <c r="BH34" s="5">
        <f t="shared" ref="BH34" si="88">BG34*(1+$T$22)</f>
        <v>96926.503565582054</v>
      </c>
      <c r="BI34" s="5">
        <f t="shared" ref="BI34" si="89">BH34*(1+$T$22)</f>
        <v>97895.768601237869</v>
      </c>
      <c r="BJ34" s="5">
        <f t="shared" ref="BJ34" si="90">BI34*(1+$T$22)</f>
        <v>98874.726287250247</v>
      </c>
      <c r="BK34" s="5">
        <f t="shared" ref="BK34" si="91">BJ34*(1+$T$22)</f>
        <v>99863.473550122755</v>
      </c>
      <c r="BL34" s="5">
        <f t="shared" ref="BL34" si="92">BK34*(1+$T$22)</f>
        <v>100862.10828562398</v>
      </c>
      <c r="BM34" s="5">
        <f t="shared" ref="BM34" si="93">BL34*(1+$T$22)</f>
        <v>101870.72936848023</v>
      </c>
      <c r="BN34" s="5">
        <f t="shared" ref="BN34" si="94">BM34*(1+$T$22)</f>
        <v>102889.43666216503</v>
      </c>
      <c r="BO34" s="5">
        <f t="shared" ref="BO34" si="95">BN34*(1+$T$22)</f>
        <v>103918.33102878668</v>
      </c>
      <c r="BP34" s="5">
        <f t="shared" ref="BP34" si="96">BO34*(1+$T$22)</f>
        <v>104957.51433907455</v>
      </c>
      <c r="BQ34" s="5">
        <f t="shared" ref="BQ34" si="97">BP34*(1+$T$22)</f>
        <v>106007.08948246529</v>
      </c>
      <c r="BR34" s="5">
        <f t="shared" ref="BR34" si="98">BQ34*(1+$T$22)</f>
        <v>107067.16037728995</v>
      </c>
      <c r="BS34" s="5">
        <f t="shared" ref="BS34" si="99">BR34*(1+$T$22)</f>
        <v>108137.83198106286</v>
      </c>
      <c r="BT34" s="5">
        <f t="shared" ref="BT34" si="100">BS34*(1+$T$22)</f>
        <v>109219.21030087348</v>
      </c>
      <c r="BU34" s="5">
        <f t="shared" ref="BU34" si="101">BT34*(1+$T$22)</f>
        <v>110311.40240388222</v>
      </c>
      <c r="BV34" s="5">
        <f t="shared" ref="BV34" si="102">BU34*(1+$T$22)</f>
        <v>111414.51642792104</v>
      </c>
      <c r="BW34" s="5">
        <f t="shared" ref="BW34" si="103">BV34*(1+$T$22)</f>
        <v>112528.66159220025</v>
      </c>
      <c r="BX34" s="5">
        <f t="shared" ref="BX34" si="104">BW34*(1+$T$22)</f>
        <v>113653.94820812225</v>
      </c>
      <c r="BY34" s="5">
        <f t="shared" ref="BY34" si="105">BX34*(1+$T$22)</f>
        <v>114790.48769020347</v>
      </c>
      <c r="BZ34" s="5">
        <f t="shared" ref="BZ34" si="106">BY34*(1+$T$22)</f>
        <v>115938.3925671055</v>
      </c>
      <c r="CA34" s="5">
        <f t="shared" ref="CA34" si="107">BZ34*(1+$T$22)</f>
        <v>117097.77649277655</v>
      </c>
      <c r="CB34" s="5">
        <f t="shared" ref="CB34" si="108">CA34*(1+$T$22)</f>
        <v>118268.75425770432</v>
      </c>
      <c r="CC34" s="5">
        <f t="shared" ref="CC34" si="109">CB34*(1+$T$22)</f>
        <v>119451.44180028136</v>
      </c>
      <c r="CD34" s="5">
        <f t="shared" ref="CD34" si="110">CC34*(1+$T$22)</f>
        <v>120645.95621828418</v>
      </c>
      <c r="CE34" s="5">
        <f t="shared" ref="CE34" si="111">CD34*(1+$T$22)</f>
        <v>121852.41578046702</v>
      </c>
      <c r="CF34" s="5">
        <f t="shared" ref="CF34" si="112">CE34*(1+$T$22)</f>
        <v>123070.93993827169</v>
      </c>
      <c r="CG34" s="5">
        <f t="shared" ref="CG34" si="113">CF34*(1+$T$22)</f>
        <v>124301.64933765441</v>
      </c>
      <c r="CH34" s="5">
        <f t="shared" ref="CH34" si="114">CG34*(1+$T$22)</f>
        <v>125544.66583103096</v>
      </c>
      <c r="CI34" s="5">
        <f t="shared" ref="CI34" si="115">CH34*(1+$T$22)</f>
        <v>126800.11248934126</v>
      </c>
      <c r="CJ34" s="5">
        <f t="shared" ref="CJ34" si="116">CI34*(1+$T$22)</f>
        <v>128068.11361423468</v>
      </c>
      <c r="CK34" s="5">
        <f t="shared" ref="CK34" si="117">CJ34*(1+$T$22)</f>
        <v>129348.79475037703</v>
      </c>
      <c r="CL34" s="5">
        <f t="shared" ref="CL34" si="118">CK34*(1+$T$22)</f>
        <v>130642.2826978808</v>
      </c>
      <c r="CM34" s="5">
        <f t="shared" ref="CM34" si="119">CL34*(1+$T$22)</f>
        <v>131948.7055248596</v>
      </c>
      <c r="CN34" s="5">
        <f t="shared" ref="CN34" si="120">CM34*(1+$T$22)</f>
        <v>133268.19258010821</v>
      </c>
      <c r="CO34" s="5">
        <f t="shared" ref="CO34" si="121">CN34*(1+$T$22)</f>
        <v>134600.87450590931</v>
      </c>
      <c r="CP34" s="5">
        <f t="shared" ref="CP34" si="122">CO34*(1+$T$22)</f>
        <v>135946.88325096839</v>
      </c>
      <c r="CQ34" s="5">
        <f t="shared" ref="CQ34" si="123">CP34*(1+$T$22)</f>
        <v>137306.35208347806</v>
      </c>
      <c r="CR34" s="5">
        <f t="shared" ref="CR34" si="124">CQ34*(1+$T$22)</f>
        <v>138679.41560431285</v>
      </c>
      <c r="CS34" s="5">
        <f t="shared" ref="CS34" si="125">CR34*(1+$T$22)</f>
        <v>140066.20976035597</v>
      </c>
      <c r="CT34" s="5">
        <f t="shared" ref="CT34" si="126">CS34*(1+$T$22)</f>
        <v>141466.87185795952</v>
      </c>
      <c r="CU34" s="5">
        <f t="shared" ref="CU34" si="127">CT34*(1+$T$22)</f>
        <v>142881.54057653912</v>
      </c>
      <c r="CV34" s="5">
        <f t="shared" ref="CV34" si="128">CU34*(1+$T$22)</f>
        <v>144310.35598230452</v>
      </c>
      <c r="CW34" s="5">
        <f t="shared" ref="CW34" si="129">CV34*(1+$T$22)</f>
        <v>145753.45954212756</v>
      </c>
      <c r="CX34" s="5">
        <f t="shared" ref="CX34" si="130">CW34*(1+$T$22)</f>
        <v>147210.99413754884</v>
      </c>
      <c r="CY34" s="5">
        <f t="shared" ref="CY34" si="131">CX34*(1+$T$22)</f>
        <v>148683.10407892434</v>
      </c>
      <c r="CZ34" s="5">
        <f t="shared" ref="CZ34" si="132">CY34*(1+$T$22)</f>
        <v>150169.9351197136</v>
      </c>
      <c r="DA34" s="5">
        <f t="shared" ref="DA34" si="133">CZ34*(1+$T$22)</f>
        <v>151671.63447091074</v>
      </c>
      <c r="DB34" s="5">
        <f t="shared" ref="DB34" si="134">DA34*(1+$T$22)</f>
        <v>153188.35081561984</v>
      </c>
      <c r="DC34" s="5">
        <f t="shared" ref="DC34" si="135">DB34*(1+$T$22)</f>
        <v>154720.23432377604</v>
      </c>
      <c r="DD34" s="5">
        <f t="shared" ref="DD34" si="136">DC34*(1+$T$22)</f>
        <v>156267.4366670138</v>
      </c>
      <c r="DE34" s="5">
        <f t="shared" ref="DE34" si="137">DD34*(1+$T$22)</f>
        <v>157830.11103368393</v>
      </c>
      <c r="DF34" s="5">
        <f t="shared" ref="DF34" si="138">DE34*(1+$T$22)</f>
        <v>159408.41214402078</v>
      </c>
      <c r="DG34" s="5">
        <f t="shared" ref="DG34" si="139">DF34*(1+$T$22)</f>
        <v>161002.496265461</v>
      </c>
      <c r="DH34" s="5">
        <f t="shared" ref="DH34" si="140">DG34*(1+$T$22)</f>
        <v>162612.5212281156</v>
      </c>
      <c r="DI34" s="5">
        <f t="shared" ref="DI34" si="141">DH34*(1+$T$22)</f>
        <v>164238.64644039675</v>
      </c>
      <c r="DJ34" s="5">
        <f t="shared" ref="DJ34" si="142">DI34*(1+$T$22)</f>
        <v>165881.03290480073</v>
      </c>
      <c r="DK34" s="5">
        <f t="shared" ref="DK34" si="143">DJ34*(1+$T$22)</f>
        <v>167539.84323384875</v>
      </c>
      <c r="DL34" s="5">
        <f t="shared" ref="DL34" si="144">DK34*(1+$T$22)</f>
        <v>169215.24166618724</v>
      </c>
      <c r="DM34" s="5">
        <f t="shared" ref="DM34" si="145">DL34*(1+$T$22)</f>
        <v>170907.39408284912</v>
      </c>
      <c r="DN34" s="5">
        <f t="shared" ref="DN34" si="146">DM34*(1+$T$22)</f>
        <v>172616.46802367762</v>
      </c>
      <c r="DO34" s="5">
        <f t="shared" ref="DO34" si="147">DN34*(1+$T$22)</f>
        <v>174342.63270391439</v>
      </c>
      <c r="DP34" s="5">
        <f t="shared" ref="DP34" si="148">DO34*(1+$T$22)</f>
        <v>176086.05903095353</v>
      </c>
      <c r="DQ34" s="5">
        <f t="shared" ref="DQ34" si="149">DP34*(1+$T$22)</f>
        <v>177846.91962126308</v>
      </c>
      <c r="DR34" s="5">
        <f t="shared" ref="DR34" si="150">DQ34*(1+$T$22)</f>
        <v>179625.3888174757</v>
      </c>
      <c r="DS34" s="5">
        <f t="shared" ref="DS34" si="151">DR34*(1+$T$22)</f>
        <v>181421.64270565045</v>
      </c>
      <c r="DT34" s="5">
        <f t="shared" ref="DT34" si="152">DS34*(1+$T$22)</f>
        <v>183235.85913270694</v>
      </c>
      <c r="DU34" s="5">
        <f t="shared" ref="DU34" si="153">DT34*(1+$T$22)</f>
        <v>185068.21772403401</v>
      </c>
      <c r="DV34" s="5">
        <f t="shared" ref="DV34" si="154">DU34*(1+$T$22)</f>
        <v>186918.89990127436</v>
      </c>
      <c r="DW34" s="5">
        <f t="shared" ref="DW34" si="155">DV34*(1+$T$22)</f>
        <v>188788.08890028711</v>
      </c>
      <c r="DX34" s="5">
        <f t="shared" ref="DX34" si="156">DW34*(1+$T$22)</f>
        <v>190675.96978928999</v>
      </c>
      <c r="DY34" s="5">
        <f t="shared" ref="DY34" si="157">DX34*(1+$T$22)</f>
        <v>192582.72948718289</v>
      </c>
      <c r="DZ34" s="5">
        <f t="shared" ref="DZ34" si="158">DY34*(1+$T$22)</f>
        <v>194508.55678205471</v>
      </c>
      <c r="EA34" s="5">
        <f t="shared" ref="EA34" si="159">DZ34*(1+$T$22)</f>
        <v>196453.64234987527</v>
      </c>
      <c r="EB34" s="5">
        <f t="shared" ref="EB34" si="160">EA34*(1+$T$22)</f>
        <v>198418.17877337403</v>
      </c>
      <c r="EC34" s="5">
        <f t="shared" ref="EC34" si="161">EB34*(1+$T$22)</f>
        <v>200402.36056110778</v>
      </c>
      <c r="ED34" s="5">
        <f t="shared" ref="ED34" si="162">EC34*(1+$T$22)</f>
        <v>202406.38416671887</v>
      </c>
      <c r="EE34" s="5">
        <f t="shared" ref="EE34" si="163">ED34*(1+$T$22)</f>
        <v>204430.44800838607</v>
      </c>
      <c r="EF34" s="5">
        <f t="shared" ref="EF34" si="164">EE34*(1+$T$22)</f>
        <v>206474.75248846994</v>
      </c>
      <c r="EG34" s="5">
        <f t="shared" ref="EG34" si="165">EF34*(1+$T$22)</f>
        <v>208539.50001335464</v>
      </c>
      <c r="EH34" s="5">
        <f t="shared" ref="EH34" si="166">EG34*(1+$T$22)</f>
        <v>210624.89501348819</v>
      </c>
      <c r="EI34" s="5">
        <f t="shared" ref="EI34" si="167">EH34*(1+$T$22)</f>
        <v>212731.14396362306</v>
      </c>
      <c r="EJ34" s="5">
        <f t="shared" ref="EJ34" si="168">EI34*(1+$T$22)</f>
        <v>214858.45540325929</v>
      </c>
      <c r="EK34" s="5">
        <f t="shared" ref="EK34" si="169">EJ34*(1+$T$22)</f>
        <v>217007.03995729188</v>
      </c>
      <c r="EL34" s="5">
        <f t="shared" ref="EL34" si="170">EK34*(1+$T$22)</f>
        <v>219177.11035686481</v>
      </c>
      <c r="EM34" s="5">
        <f t="shared" ref="EM34" si="171">EL34*(1+$T$22)</f>
        <v>221368.88146043345</v>
      </c>
      <c r="EN34" s="5">
        <f t="shared" ref="EN34" si="172">EM34*(1+$T$22)</f>
        <v>223582.57027503778</v>
      </c>
      <c r="EO34" s="5">
        <f t="shared" ref="EO34" si="173">EN34*(1+$T$22)</f>
        <v>225818.39597778817</v>
      </c>
      <c r="EP34" s="5">
        <f t="shared" ref="EP34" si="174">EO34*(1+$T$22)</f>
        <v>228076.57993756604</v>
      </c>
      <c r="EQ34" s="5">
        <f t="shared" ref="EQ34" si="175">EP34*(1+$T$22)</f>
        <v>230357.3457369417</v>
      </c>
      <c r="ER34" s="5">
        <f t="shared" ref="ER34" si="176">EQ34*(1+$T$22)</f>
        <v>232660.91919431111</v>
      </c>
      <c r="ES34" s="5">
        <f t="shared" ref="ES34" si="177">ER34*(1+$T$22)</f>
        <v>234987.52838625421</v>
      </c>
      <c r="ET34" s="5">
        <f t="shared" ref="ET34" si="178">ES34*(1+$T$22)</f>
        <v>237337.40367011676</v>
      </c>
      <c r="EU34" s="5">
        <f t="shared" ref="EU34" si="179">ET34*(1+$T$22)</f>
        <v>239710.77770681793</v>
      </c>
      <c r="EV34" s="5">
        <f t="shared" ref="EV34" si="180">EU34*(1+$T$22)</f>
        <v>242107.88548388612</v>
      </c>
      <c r="EW34" s="5">
        <f t="shared" ref="EW34" si="181">EV34*(1+$T$22)</f>
        <v>244528.96433872497</v>
      </c>
      <c r="EX34" s="5">
        <f t="shared" ref="EX34" si="182">EW34*(1+$T$22)</f>
        <v>246974.25398211222</v>
      </c>
      <c r="EY34" s="5">
        <f t="shared" ref="EY34" si="183">EX34*(1+$T$22)</f>
        <v>249443.99652193335</v>
      </c>
      <c r="EZ34" s="5">
        <f t="shared" ref="EZ34" si="184">EY34*(1+$T$22)</f>
        <v>251938.43648715268</v>
      </c>
      <c r="FA34" s="5">
        <f t="shared" ref="FA34" si="185">EZ34*(1+$T$22)</f>
        <v>254457.82085202422</v>
      </c>
      <c r="FB34" s="5">
        <f t="shared" ref="FB34" si="186">FA34*(1+$T$22)</f>
        <v>257002.39906054447</v>
      </c>
      <c r="FC34" s="5">
        <f t="shared" ref="FC34" si="187">FB34*(1+$T$22)</f>
        <v>259572.4230511499</v>
      </c>
      <c r="FD34" s="5">
        <f t="shared" ref="FD34" si="188">FC34*(1+$T$22)</f>
        <v>262168.1472816614</v>
      </c>
      <c r="FE34" s="5">
        <f t="shared" ref="FE34" si="189">FD34*(1+$T$22)</f>
        <v>264789.82875447802</v>
      </c>
      <c r="FF34" s="5">
        <f t="shared" ref="FF34" si="190">FE34*(1+$T$22)</f>
        <v>267437.7270420228</v>
      </c>
      <c r="FG34" s="5">
        <f t="shared" ref="FG34" si="191">FF34*(1+$T$22)</f>
        <v>270112.10431244306</v>
      </c>
      <c r="FH34" s="5">
        <f t="shared" ref="FH34" si="192">FG34*(1+$T$22)</f>
        <v>272813.22535556747</v>
      </c>
      <c r="FI34" s="5">
        <f t="shared" ref="FI34" si="193">FH34*(1+$T$22)</f>
        <v>275541.35760912317</v>
      </c>
      <c r="FJ34" s="5">
        <f t="shared" ref="FJ34" si="194">FI34*(1+$T$22)</f>
        <v>278296.7711852144</v>
      </c>
      <c r="FK34" s="5">
        <f t="shared" ref="FK34" si="195">FJ34*(1+$T$22)</f>
        <v>281079.73889706656</v>
      </c>
    </row>
    <row r="35" spans="1:167" x14ac:dyDescent="0.25">
      <c r="A35" s="2" t="s">
        <v>89</v>
      </c>
      <c r="I35" s="4"/>
      <c r="J35" s="4"/>
      <c r="K35" s="4"/>
      <c r="L35" s="6"/>
      <c r="M35" s="4"/>
      <c r="N35" s="4"/>
      <c r="O35" s="4"/>
      <c r="P35" s="4"/>
      <c r="Q35" s="4"/>
      <c r="R35" s="4"/>
      <c r="S35" s="4"/>
      <c r="T35" s="4"/>
      <c r="U35" s="4"/>
      <c r="Y35" s="4"/>
    </row>
    <row r="36" spans="1:167" x14ac:dyDescent="0.25">
      <c r="L36" s="4"/>
      <c r="M36" s="6"/>
      <c r="U36" s="4"/>
    </row>
    <row r="37" spans="1:167" x14ac:dyDescent="0.25">
      <c r="A37" s="2" t="s">
        <v>14</v>
      </c>
      <c r="H37" s="2">
        <v>24390</v>
      </c>
      <c r="I37" s="2">
        <v>71177</v>
      </c>
      <c r="J37" s="2">
        <v>70826</v>
      </c>
      <c r="K37" s="2">
        <v>94105</v>
      </c>
      <c r="U37" s="4"/>
    </row>
    <row r="38" spans="1:167" x14ac:dyDescent="0.25">
      <c r="A38" s="2" t="s">
        <v>13</v>
      </c>
      <c r="H38" s="2">
        <v>906032</v>
      </c>
      <c r="I38" s="2">
        <v>1298434</v>
      </c>
      <c r="J38" s="2">
        <v>1775159</v>
      </c>
      <c r="K38" s="2">
        <v>1679338</v>
      </c>
      <c r="L38" s="2">
        <f>E42*4</f>
        <v>1836000</v>
      </c>
      <c r="M38" s="2">
        <f>L38*1.3</f>
        <v>2386800</v>
      </c>
      <c r="N38" s="2">
        <f>M38*1.15</f>
        <v>2744820</v>
      </c>
      <c r="O38" s="2">
        <f t="shared" ref="O38:Q38" si="196">N38*1.15</f>
        <v>3156542.9999999995</v>
      </c>
      <c r="P38" s="2">
        <f t="shared" si="196"/>
        <v>3630024.4499999993</v>
      </c>
      <c r="Q38" s="2">
        <f t="shared" si="196"/>
        <v>4174528.1174999988</v>
      </c>
      <c r="U38" s="4"/>
    </row>
    <row r="39" spans="1:167" x14ac:dyDescent="0.25">
      <c r="A39" s="2" t="s">
        <v>59</v>
      </c>
      <c r="L39" s="2">
        <v>150000</v>
      </c>
      <c r="M39" s="2">
        <f>L39*1.1</f>
        <v>165000</v>
      </c>
      <c r="N39" s="2">
        <f>M39*1.1</f>
        <v>181500.00000000003</v>
      </c>
      <c r="O39" s="2">
        <f>N39*1.1</f>
        <v>199650.00000000006</v>
      </c>
      <c r="P39" s="2">
        <f>O39*1.1</f>
        <v>219615.00000000009</v>
      </c>
      <c r="Q39" s="2">
        <f>P39*1.1</f>
        <v>241576.50000000012</v>
      </c>
      <c r="U39" s="4"/>
    </row>
    <row r="40" spans="1:167" x14ac:dyDescent="0.25">
      <c r="A40" s="2" t="s">
        <v>60</v>
      </c>
      <c r="H40" s="4"/>
      <c r="I40" s="4"/>
      <c r="J40" s="4"/>
      <c r="K40" s="4"/>
      <c r="L40" s="2">
        <v>50000</v>
      </c>
      <c r="M40" s="2">
        <f>L40*2</f>
        <v>100000</v>
      </c>
      <c r="N40" s="2">
        <f>M40*2</f>
        <v>200000</v>
      </c>
      <c r="O40" s="2">
        <f>N40*1.5</f>
        <v>300000</v>
      </c>
      <c r="P40" s="2">
        <f>O40*1.5</f>
        <v>450000</v>
      </c>
      <c r="Q40" s="2">
        <f>P40*1.5</f>
        <v>675000</v>
      </c>
    </row>
    <row r="41" spans="1:167" x14ac:dyDescent="0.25">
      <c r="A41" s="2" t="s">
        <v>61</v>
      </c>
      <c r="M41" s="2">
        <v>50000</v>
      </c>
      <c r="N41" s="2">
        <f>M41*1.1</f>
        <v>55000.000000000007</v>
      </c>
      <c r="O41" s="2">
        <f t="shared" ref="O41:Q41" si="197">N41*1.1</f>
        <v>60500.000000000015</v>
      </c>
      <c r="P41" s="2">
        <f t="shared" si="197"/>
        <v>66550.000000000015</v>
      </c>
      <c r="Q41" s="2">
        <f t="shared" si="197"/>
        <v>73205.000000000029</v>
      </c>
    </row>
    <row r="42" spans="1:167" x14ac:dyDescent="0.25">
      <c r="A42" s="2" t="s">
        <v>15</v>
      </c>
      <c r="B42" s="2">
        <f>SUM(B38:B38)</f>
        <v>0</v>
      </c>
      <c r="E42" s="2">
        <v>459000</v>
      </c>
      <c r="H42" s="2">
        <f t="shared" ref="H42:Q42" si="198">SUM(H38:H41)</f>
        <v>906032</v>
      </c>
      <c r="I42" s="2">
        <f t="shared" si="198"/>
        <v>1298434</v>
      </c>
      <c r="J42" s="2">
        <f t="shared" si="198"/>
        <v>1775159</v>
      </c>
      <c r="K42" s="2">
        <f t="shared" si="198"/>
        <v>1679338</v>
      </c>
      <c r="L42" s="2">
        <f t="shared" si="198"/>
        <v>2036000</v>
      </c>
      <c r="M42" s="2">
        <f t="shared" si="198"/>
        <v>2701800</v>
      </c>
      <c r="N42" s="2">
        <f t="shared" si="198"/>
        <v>3181320</v>
      </c>
      <c r="O42" s="2">
        <f t="shared" si="198"/>
        <v>3716692.9999999995</v>
      </c>
      <c r="P42" s="2">
        <f t="shared" si="198"/>
        <v>4366189.4499999993</v>
      </c>
      <c r="Q42" s="2">
        <f t="shared" si="198"/>
        <v>5164309.6174999988</v>
      </c>
    </row>
    <row r="43" spans="1:167" x14ac:dyDescent="0.25">
      <c r="A43" s="2" t="s">
        <v>62</v>
      </c>
      <c r="L43" s="2">
        <f>K48*1.02</f>
        <v>46810.945741714888</v>
      </c>
      <c r="M43" s="2">
        <f>L43*1.01</f>
        <v>47279.055199132039</v>
      </c>
      <c r="N43" s="2">
        <f t="shared" ref="N43:Q43" si="199">M43*1.01</f>
        <v>47751.845751123357</v>
      </c>
      <c r="O43" s="2">
        <f t="shared" si="199"/>
        <v>48229.364208634594</v>
      </c>
      <c r="P43" s="2">
        <f t="shared" si="199"/>
        <v>48711.657850720941</v>
      </c>
      <c r="Q43" s="2">
        <f t="shared" si="199"/>
        <v>49198.77442922815</v>
      </c>
    </row>
    <row r="44" spans="1:167" x14ac:dyDescent="0.25">
      <c r="A44" s="2" t="s">
        <v>63</v>
      </c>
      <c r="L44" s="2">
        <v>65000</v>
      </c>
      <c r="M44" s="2">
        <f>L44*1.01</f>
        <v>65650</v>
      </c>
      <c r="N44" s="2">
        <f t="shared" ref="N44:Q44" si="200">M44*1.01</f>
        <v>66306.5</v>
      </c>
      <c r="O44" s="2">
        <f t="shared" si="200"/>
        <v>66969.565000000002</v>
      </c>
      <c r="P44" s="2">
        <f t="shared" si="200"/>
        <v>67639.260649999997</v>
      </c>
      <c r="Q44" s="2">
        <f t="shared" si="200"/>
        <v>68315.653256499994</v>
      </c>
      <c r="S44" s="2" t="s">
        <v>16</v>
      </c>
      <c r="T44" s="4">
        <v>0.01</v>
      </c>
    </row>
    <row r="45" spans="1:167" x14ac:dyDescent="0.25">
      <c r="A45" s="2" t="s">
        <v>64</v>
      </c>
      <c r="L45" s="2">
        <v>30000</v>
      </c>
      <c r="M45" s="2">
        <f>L45*1.01</f>
        <v>30300</v>
      </c>
      <c r="N45" s="2">
        <f t="shared" ref="N45:Q45" si="201">M45*1.01</f>
        <v>30603</v>
      </c>
      <c r="O45" s="2">
        <f t="shared" si="201"/>
        <v>30909.03</v>
      </c>
      <c r="P45" s="2">
        <f t="shared" si="201"/>
        <v>31218.120299999999</v>
      </c>
      <c r="Q45" s="2">
        <f t="shared" si="201"/>
        <v>31530.301502999999</v>
      </c>
      <c r="S45" s="2" t="s">
        <v>17</v>
      </c>
      <c r="T45" s="4">
        <v>0.15</v>
      </c>
    </row>
    <row r="46" spans="1:167" x14ac:dyDescent="0.25">
      <c r="A46" s="2" t="s">
        <v>65</v>
      </c>
      <c r="L46" s="2">
        <v>165000</v>
      </c>
      <c r="M46" s="2">
        <f>L46*1.01</f>
        <v>166650</v>
      </c>
      <c r="N46" s="2">
        <f t="shared" ref="N46:Q46" si="202">M46*1.01</f>
        <v>168316.5</v>
      </c>
      <c r="O46" s="2">
        <f t="shared" si="202"/>
        <v>169999.66500000001</v>
      </c>
      <c r="P46" s="2">
        <f t="shared" si="202"/>
        <v>171699.66165000002</v>
      </c>
      <c r="Q46" s="2">
        <f t="shared" si="202"/>
        <v>173416.65826650002</v>
      </c>
      <c r="S46" s="2" t="s">
        <v>18</v>
      </c>
      <c r="T46" s="2">
        <f>NPV(T45,L52:EO52)</f>
        <v>95487.322301556982</v>
      </c>
    </row>
    <row r="47" spans="1:167" x14ac:dyDescent="0.25">
      <c r="A47" s="2" t="s">
        <v>72</v>
      </c>
      <c r="E47" s="2">
        <f>E2*1000000/E42</f>
        <v>43132.897603485842</v>
      </c>
      <c r="L47" s="2">
        <f t="shared" ref="L47:Q47" si="203">L41+L39+L38</f>
        <v>1986000</v>
      </c>
      <c r="M47" s="2">
        <f t="shared" si="203"/>
        <v>2601800</v>
      </c>
      <c r="N47" s="2">
        <f t="shared" si="203"/>
        <v>2981320</v>
      </c>
      <c r="O47" s="2">
        <f t="shared" si="203"/>
        <v>3416692.9999999995</v>
      </c>
      <c r="P47" s="2">
        <f t="shared" si="203"/>
        <v>3916189.4499999993</v>
      </c>
      <c r="Q47" s="2">
        <f t="shared" si="203"/>
        <v>4489309.6174999988</v>
      </c>
    </row>
    <row r="48" spans="1:167" x14ac:dyDescent="0.25">
      <c r="A48" s="2" t="s">
        <v>87</v>
      </c>
      <c r="H48" s="2">
        <f>H2*1000000/H42</f>
        <v>52130.609073410211</v>
      </c>
      <c r="I48" s="2">
        <f>I2*1000000/I42</f>
        <v>55037.067729280039</v>
      </c>
      <c r="J48" s="2">
        <f>J2*1000000/J42</f>
        <v>46429.080437301673</v>
      </c>
      <c r="K48" s="2">
        <f>K2*1000000/K42</f>
        <v>45893.084060504792</v>
      </c>
      <c r="L48" s="2">
        <f>K48*1.03</f>
        <v>47269.876582319936</v>
      </c>
      <c r="M48" s="2">
        <f t="shared" ref="M48:Q48" si="204">L48*1.03</f>
        <v>48687.972879789537</v>
      </c>
      <c r="N48" s="2">
        <f t="shared" si="204"/>
        <v>50148.612066183225</v>
      </c>
      <c r="O48" s="2">
        <f t="shared" si="204"/>
        <v>51653.070428168721</v>
      </c>
      <c r="P48" s="2">
        <f t="shared" si="204"/>
        <v>53202.662541013786</v>
      </c>
      <c r="Q48" s="2">
        <f t="shared" si="204"/>
        <v>54798.742417244204</v>
      </c>
    </row>
    <row r="50" spans="1:145" x14ac:dyDescent="0.25">
      <c r="A50" s="2" t="s">
        <v>13</v>
      </c>
      <c r="L50" s="2">
        <f t="shared" ref="L50:Q50" si="205">L38*(L43/1000000)</f>
        <v>85944.896381788538</v>
      </c>
      <c r="M50" s="2">
        <f t="shared" si="205"/>
        <v>112845.64894928834</v>
      </c>
      <c r="N50" s="2">
        <f t="shared" si="205"/>
        <v>131070.22125459842</v>
      </c>
      <c r="O50" s="2">
        <f t="shared" si="205"/>
        <v>152238.06198721603</v>
      </c>
      <c r="P50" s="2">
        <f t="shared" si="205"/>
        <v>176824.50899815143</v>
      </c>
      <c r="Q50" s="2">
        <f t="shared" si="205"/>
        <v>205381.66720135286</v>
      </c>
    </row>
    <row r="51" spans="1:145" x14ac:dyDescent="0.25">
      <c r="A51" s="2" t="s">
        <v>59</v>
      </c>
      <c r="L51" s="2">
        <f t="shared" ref="L51:Q51" si="206">L39*(L44/1000000)</f>
        <v>9750</v>
      </c>
      <c r="M51" s="2">
        <f t="shared" si="206"/>
        <v>10832.25</v>
      </c>
      <c r="N51" s="2">
        <f t="shared" si="206"/>
        <v>12034.629750000002</v>
      </c>
      <c r="O51" s="2">
        <f t="shared" si="206"/>
        <v>13370.473652250006</v>
      </c>
      <c r="P51" s="2">
        <f t="shared" si="206"/>
        <v>14854.596227649754</v>
      </c>
      <c r="Q51" s="2">
        <f t="shared" si="206"/>
        <v>16503.456408918879</v>
      </c>
    </row>
    <row r="52" spans="1:145" x14ac:dyDescent="0.25">
      <c r="A52" s="2" t="s">
        <v>60</v>
      </c>
      <c r="L52" s="2">
        <f t="shared" ref="L52:Q52" si="207">L40*(L45/1000000)</f>
        <v>1500</v>
      </c>
      <c r="M52" s="2">
        <f t="shared" si="207"/>
        <v>3030</v>
      </c>
      <c r="N52" s="2">
        <f t="shared" si="207"/>
        <v>6120.6</v>
      </c>
      <c r="O52" s="2">
        <f t="shared" si="207"/>
        <v>9272.7090000000007</v>
      </c>
      <c r="P52" s="2">
        <f t="shared" si="207"/>
        <v>14048.154134999999</v>
      </c>
      <c r="Q52" s="2">
        <f t="shared" si="207"/>
        <v>21282.953514525001</v>
      </c>
      <c r="R52" s="2">
        <f>Q52*(1+$T$44)</f>
        <v>21495.783049670252</v>
      </c>
      <c r="S52" s="2">
        <f t="shared" ref="S52:CD52" si="208">R52*(1+$T$44)</f>
        <v>21710.740880166955</v>
      </c>
      <c r="T52" s="2">
        <f t="shared" si="208"/>
        <v>21927.848288968624</v>
      </c>
      <c r="U52" s="2">
        <f t="shared" si="208"/>
        <v>22147.126771858311</v>
      </c>
      <c r="V52" s="2">
        <f t="shared" si="208"/>
        <v>22368.598039576893</v>
      </c>
      <c r="W52" s="2">
        <f t="shared" si="208"/>
        <v>22592.284019972663</v>
      </c>
      <c r="X52" s="2">
        <f t="shared" si="208"/>
        <v>22818.206860172391</v>
      </c>
      <c r="Y52" s="2">
        <f t="shared" si="208"/>
        <v>23046.388928774115</v>
      </c>
      <c r="Z52" s="2">
        <f t="shared" si="208"/>
        <v>23276.852818061856</v>
      </c>
      <c r="AA52" s="2">
        <f t="shared" si="208"/>
        <v>23509.621346242475</v>
      </c>
      <c r="AB52" s="2">
        <f t="shared" si="208"/>
        <v>23744.717559704899</v>
      </c>
      <c r="AC52" s="2">
        <f t="shared" si="208"/>
        <v>23982.164735301947</v>
      </c>
      <c r="AD52" s="2">
        <f t="shared" si="208"/>
        <v>24221.986382654966</v>
      </c>
      <c r="AE52" s="2">
        <f t="shared" si="208"/>
        <v>24464.206246481517</v>
      </c>
      <c r="AF52" s="2">
        <f t="shared" si="208"/>
        <v>24708.848308946333</v>
      </c>
      <c r="AG52" s="2">
        <f t="shared" si="208"/>
        <v>24955.936792035798</v>
      </c>
      <c r="AH52" s="2">
        <f t="shared" si="208"/>
        <v>25205.496159956157</v>
      </c>
      <c r="AI52" s="2">
        <f t="shared" si="208"/>
        <v>25457.55112155572</v>
      </c>
      <c r="AJ52" s="2">
        <f t="shared" si="208"/>
        <v>25712.126632771276</v>
      </c>
      <c r="AK52" s="2">
        <f t="shared" si="208"/>
        <v>25969.247899098991</v>
      </c>
      <c r="AL52" s="2">
        <f t="shared" si="208"/>
        <v>26228.940378089981</v>
      </c>
      <c r="AM52" s="2">
        <f t="shared" si="208"/>
        <v>26491.229781870879</v>
      </c>
      <c r="AN52" s="2">
        <f t="shared" si="208"/>
        <v>26756.142079689587</v>
      </c>
      <c r="AO52" s="2">
        <f t="shared" si="208"/>
        <v>27023.703500486485</v>
      </c>
      <c r="AP52" s="2">
        <f t="shared" si="208"/>
        <v>27293.940535491351</v>
      </c>
      <c r="AQ52" s="2">
        <f t="shared" si="208"/>
        <v>27566.879940846266</v>
      </c>
      <c r="AR52" s="2">
        <f t="shared" si="208"/>
        <v>27842.54874025473</v>
      </c>
      <c r="AS52" s="2">
        <f t="shared" si="208"/>
        <v>28120.974227657276</v>
      </c>
      <c r="AT52" s="2">
        <f t="shared" si="208"/>
        <v>28402.183969933849</v>
      </c>
      <c r="AU52" s="2">
        <f t="shared" si="208"/>
        <v>28686.205809633189</v>
      </c>
      <c r="AV52" s="2">
        <f t="shared" si="208"/>
        <v>28973.067867729522</v>
      </c>
      <c r="AW52" s="2">
        <f t="shared" si="208"/>
        <v>29262.798546406819</v>
      </c>
      <c r="AX52" s="2">
        <f t="shared" si="208"/>
        <v>29555.426531870886</v>
      </c>
      <c r="AY52" s="2">
        <f t="shared" si="208"/>
        <v>29850.980797189593</v>
      </c>
      <c r="AZ52" s="2">
        <f t="shared" si="208"/>
        <v>30149.490605161489</v>
      </c>
      <c r="BA52" s="2">
        <f t="shared" si="208"/>
        <v>30450.985511213104</v>
      </c>
      <c r="BB52" s="2">
        <f t="shared" si="208"/>
        <v>30755.495366325234</v>
      </c>
      <c r="BC52" s="2">
        <f t="shared" si="208"/>
        <v>31063.050319988488</v>
      </c>
      <c r="BD52" s="2">
        <f t="shared" si="208"/>
        <v>31373.680823188373</v>
      </c>
      <c r="BE52" s="2">
        <f t="shared" si="208"/>
        <v>31687.417631420256</v>
      </c>
      <c r="BF52" s="2">
        <f t="shared" si="208"/>
        <v>32004.291807734458</v>
      </c>
      <c r="BG52" s="2">
        <f t="shared" si="208"/>
        <v>32324.334725811805</v>
      </c>
      <c r="BH52" s="2">
        <f t="shared" si="208"/>
        <v>32647.578073069923</v>
      </c>
      <c r="BI52" s="2">
        <f t="shared" si="208"/>
        <v>32974.053853800622</v>
      </c>
      <c r="BJ52" s="2">
        <f t="shared" si="208"/>
        <v>33303.794392338626</v>
      </c>
      <c r="BK52" s="2">
        <f t="shared" si="208"/>
        <v>33636.832336262014</v>
      </c>
      <c r="BL52" s="2">
        <f t="shared" si="208"/>
        <v>33973.200659624636</v>
      </c>
      <c r="BM52" s="2">
        <f t="shared" si="208"/>
        <v>34312.932666220884</v>
      </c>
      <c r="BN52" s="2">
        <f t="shared" si="208"/>
        <v>34656.061992883093</v>
      </c>
      <c r="BO52" s="2">
        <f t="shared" si="208"/>
        <v>35002.622612811923</v>
      </c>
      <c r="BP52" s="2">
        <f t="shared" si="208"/>
        <v>35352.64883894004</v>
      </c>
      <c r="BQ52" s="2">
        <f t="shared" si="208"/>
        <v>35706.175327329438</v>
      </c>
      <c r="BR52" s="2">
        <f t="shared" si="208"/>
        <v>36063.237080602732</v>
      </c>
      <c r="BS52" s="2">
        <f t="shared" si="208"/>
        <v>36423.869451408762</v>
      </c>
      <c r="BT52" s="2">
        <f t="shared" si="208"/>
        <v>36788.108145922852</v>
      </c>
      <c r="BU52" s="2">
        <f t="shared" si="208"/>
        <v>37155.989227382081</v>
      </c>
      <c r="BV52" s="2">
        <f t="shared" si="208"/>
        <v>37527.549119655901</v>
      </c>
      <c r="BW52" s="2">
        <f t="shared" si="208"/>
        <v>37902.824610852462</v>
      </c>
      <c r="BX52" s="2">
        <f t="shared" si="208"/>
        <v>38281.852856960984</v>
      </c>
      <c r="BY52" s="2">
        <f t="shared" si="208"/>
        <v>38664.671385530593</v>
      </c>
      <c r="BZ52" s="2">
        <f t="shared" si="208"/>
        <v>39051.318099385899</v>
      </c>
      <c r="CA52" s="2">
        <f t="shared" si="208"/>
        <v>39441.83128037976</v>
      </c>
      <c r="CB52" s="2">
        <f t="shared" si="208"/>
        <v>39836.249593183558</v>
      </c>
      <c r="CC52" s="2">
        <f t="shared" si="208"/>
        <v>40234.612089115391</v>
      </c>
      <c r="CD52" s="2">
        <f t="shared" si="208"/>
        <v>40636.958210006545</v>
      </c>
      <c r="CE52" s="2">
        <f t="shared" ref="CE52:EO52" si="209">CD52*(1+$T$44)</f>
        <v>41043.327792106611</v>
      </c>
      <c r="CF52" s="2">
        <f t="shared" si="209"/>
        <v>41453.761070027678</v>
      </c>
      <c r="CG52" s="2">
        <f t="shared" si="209"/>
        <v>41868.298680727952</v>
      </c>
      <c r="CH52" s="2">
        <f t="shared" si="209"/>
        <v>42286.981667535234</v>
      </c>
      <c r="CI52" s="2">
        <f t="shared" si="209"/>
        <v>42709.851484210587</v>
      </c>
      <c r="CJ52" s="2">
        <f t="shared" si="209"/>
        <v>43136.949999052697</v>
      </c>
      <c r="CK52" s="2">
        <f t="shared" si="209"/>
        <v>43568.319499043224</v>
      </c>
      <c r="CL52" s="2">
        <f t="shared" si="209"/>
        <v>44004.002694033654</v>
      </c>
      <c r="CM52" s="2">
        <f t="shared" si="209"/>
        <v>44444.042720973994</v>
      </c>
      <c r="CN52" s="2">
        <f t="shared" si="209"/>
        <v>44888.483148183732</v>
      </c>
      <c r="CO52" s="2">
        <f t="shared" si="209"/>
        <v>45337.367979665571</v>
      </c>
      <c r="CP52" s="2">
        <f t="shared" si="209"/>
        <v>45790.741659462226</v>
      </c>
      <c r="CQ52" s="2">
        <f t="shared" si="209"/>
        <v>46248.649076056849</v>
      </c>
      <c r="CR52" s="2">
        <f t="shared" si="209"/>
        <v>46711.135566817415</v>
      </c>
      <c r="CS52" s="2">
        <f t="shared" si="209"/>
        <v>47178.246922485589</v>
      </c>
      <c r="CT52" s="2">
        <f t="shared" si="209"/>
        <v>47650.029391710443</v>
      </c>
      <c r="CU52" s="2">
        <f t="shared" si="209"/>
        <v>48126.529685627545</v>
      </c>
      <c r="CV52" s="2">
        <f t="shared" si="209"/>
        <v>48607.794982483822</v>
      </c>
      <c r="CW52" s="2">
        <f t="shared" si="209"/>
        <v>49093.872932308659</v>
      </c>
      <c r="CX52" s="2">
        <f t="shared" si="209"/>
        <v>49584.811661631749</v>
      </c>
      <c r="CY52" s="2">
        <f t="shared" si="209"/>
        <v>50080.659778248068</v>
      </c>
      <c r="CZ52" s="2">
        <f t="shared" si="209"/>
        <v>50581.466376030548</v>
      </c>
      <c r="DA52" s="2">
        <f t="shared" si="209"/>
        <v>51087.281039790854</v>
      </c>
      <c r="DB52" s="2">
        <f t="shared" si="209"/>
        <v>51598.153850188763</v>
      </c>
      <c r="DC52" s="2">
        <f t="shared" si="209"/>
        <v>52114.135388690651</v>
      </c>
      <c r="DD52" s="2">
        <f t="shared" si="209"/>
        <v>52635.27674257756</v>
      </c>
      <c r="DE52" s="2">
        <f t="shared" si="209"/>
        <v>53161.629510003339</v>
      </c>
      <c r="DF52" s="2">
        <f t="shared" si="209"/>
        <v>53693.245805103375</v>
      </c>
      <c r="DG52" s="2">
        <f t="shared" si="209"/>
        <v>54230.178263154412</v>
      </c>
      <c r="DH52" s="2">
        <f t="shared" si="209"/>
        <v>54772.48004578596</v>
      </c>
      <c r="DI52" s="2">
        <f t="shared" si="209"/>
        <v>55320.204846243818</v>
      </c>
      <c r="DJ52" s="2">
        <f t="shared" si="209"/>
        <v>55873.406894706255</v>
      </c>
      <c r="DK52" s="2">
        <f t="shared" si="209"/>
        <v>56432.140963653321</v>
      </c>
      <c r="DL52" s="2">
        <f t="shared" si="209"/>
        <v>56996.462373289854</v>
      </c>
      <c r="DM52" s="2">
        <f t="shared" si="209"/>
        <v>57566.426997022754</v>
      </c>
      <c r="DN52" s="2">
        <f t="shared" si="209"/>
        <v>58142.091266992982</v>
      </c>
      <c r="DO52" s="2">
        <f t="shared" si="209"/>
        <v>58723.51217966291</v>
      </c>
      <c r="DP52" s="2">
        <f t="shared" si="209"/>
        <v>59310.747301459538</v>
      </c>
      <c r="DQ52" s="2">
        <f t="shared" si="209"/>
        <v>59903.854774474137</v>
      </c>
      <c r="DR52" s="2">
        <f t="shared" si="209"/>
        <v>60502.893322218879</v>
      </c>
      <c r="DS52" s="2">
        <f t="shared" si="209"/>
        <v>61107.922255441066</v>
      </c>
      <c r="DT52" s="2">
        <f t="shared" si="209"/>
        <v>61719.00147799548</v>
      </c>
      <c r="DU52" s="2">
        <f t="shared" si="209"/>
        <v>62336.191492775433</v>
      </c>
      <c r="DV52" s="2">
        <f t="shared" si="209"/>
        <v>62959.553407703192</v>
      </c>
      <c r="DW52" s="2">
        <f t="shared" si="209"/>
        <v>63589.148941780222</v>
      </c>
      <c r="DX52" s="2">
        <f t="shared" si="209"/>
        <v>64225.040431198024</v>
      </c>
      <c r="DY52" s="2">
        <f t="shared" si="209"/>
        <v>64867.290835510008</v>
      </c>
      <c r="DZ52" s="2">
        <f t="shared" si="209"/>
        <v>65515.963743865112</v>
      </c>
      <c r="EA52" s="2">
        <f t="shared" si="209"/>
        <v>66171.123381303769</v>
      </c>
      <c r="EB52" s="2">
        <f t="shared" si="209"/>
        <v>66832.834615116808</v>
      </c>
      <c r="EC52" s="2">
        <f t="shared" si="209"/>
        <v>67501.162961267983</v>
      </c>
      <c r="ED52" s="2">
        <f t="shared" si="209"/>
        <v>68176.174590880662</v>
      </c>
      <c r="EE52" s="2">
        <f t="shared" si="209"/>
        <v>68857.936336789469</v>
      </c>
      <c r="EF52" s="2">
        <f t="shared" si="209"/>
        <v>69546.515700157368</v>
      </c>
      <c r="EG52" s="2">
        <f t="shared" si="209"/>
        <v>70241.980857158938</v>
      </c>
      <c r="EH52" s="2">
        <f t="shared" si="209"/>
        <v>70944.400665730529</v>
      </c>
      <c r="EI52" s="2">
        <f t="shared" si="209"/>
        <v>71653.84467238783</v>
      </c>
      <c r="EJ52" s="2">
        <f t="shared" si="209"/>
        <v>72370.383119111706</v>
      </c>
      <c r="EK52" s="2">
        <f t="shared" si="209"/>
        <v>73094.086950302823</v>
      </c>
      <c r="EL52" s="2">
        <f t="shared" si="209"/>
        <v>73825.027819805851</v>
      </c>
      <c r="EM52" s="2">
        <f t="shared" si="209"/>
        <v>74563.27809800391</v>
      </c>
      <c r="EN52" s="2">
        <f t="shared" si="209"/>
        <v>75308.910878983952</v>
      </c>
      <c r="EO52" s="2">
        <f t="shared" si="209"/>
        <v>76061.999987773786</v>
      </c>
    </row>
    <row r="53" spans="1:145" x14ac:dyDescent="0.25">
      <c r="A53" s="2" t="s">
        <v>61</v>
      </c>
      <c r="L53" s="2">
        <f t="shared" ref="L53:Q53" si="210">L41*(L46/1000000)</f>
        <v>0</v>
      </c>
      <c r="M53" s="2">
        <f t="shared" si="210"/>
        <v>8332.5</v>
      </c>
      <c r="N53" s="2">
        <f t="shared" si="210"/>
        <v>9257.4075000000012</v>
      </c>
      <c r="O53" s="2">
        <f t="shared" si="210"/>
        <v>10284.979732500004</v>
      </c>
      <c r="P53" s="2">
        <f t="shared" si="210"/>
        <v>11426.612482807504</v>
      </c>
      <c r="Q53" s="2">
        <f t="shared" si="210"/>
        <v>12694.96646839914</v>
      </c>
    </row>
    <row r="55" spans="1:145" x14ac:dyDescent="0.25">
      <c r="A55" s="5" t="s">
        <v>75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>
        <f>T74</f>
        <v>29075.21876234957</v>
      </c>
      <c r="M55" s="5"/>
      <c r="N55" s="5"/>
      <c r="O55" s="5"/>
      <c r="Q55" s="5"/>
      <c r="R55" s="5"/>
      <c r="S55" s="5"/>
      <c r="T55" s="5"/>
    </row>
    <row r="56" spans="1:145" x14ac:dyDescent="0.25">
      <c r="A56" s="5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>
        <f>X66</f>
        <v>94617.027370253287</v>
      </c>
      <c r="M56" s="5"/>
      <c r="N56" s="5"/>
      <c r="O56" s="5"/>
      <c r="Q56" s="5"/>
      <c r="R56" s="5"/>
      <c r="S56" s="5"/>
      <c r="T56" s="5"/>
    </row>
    <row r="57" spans="1:145" x14ac:dyDescent="0.25">
      <c r="A57" s="2" t="s">
        <v>71</v>
      </c>
      <c r="L57" s="2">
        <f t="shared" ref="L57:Q57" si="211">(8000*SUM(L38:L41)*L62)/1000000</f>
        <v>3909.12</v>
      </c>
      <c r="M57" s="2">
        <f t="shared" si="211"/>
        <v>6224.9471999999996</v>
      </c>
      <c r="N57" s="2">
        <f t="shared" si="211"/>
        <v>8795.7135359999993</v>
      </c>
      <c r="O57" s="2">
        <f t="shared" si="211"/>
        <v>12331.095367679996</v>
      </c>
      <c r="P57" s="2">
        <f t="shared" si="211"/>
        <v>17383.16245155839</v>
      </c>
      <c r="Q57" s="2">
        <f t="shared" si="211"/>
        <v>24672.873422241784</v>
      </c>
    </row>
    <row r="58" spans="1:145" x14ac:dyDescent="0.25">
      <c r="A58" s="2" t="s">
        <v>70</v>
      </c>
      <c r="L58" s="2">
        <f>((99*L47)/(1000000))*L63</f>
        <v>39.322800000000001</v>
      </c>
      <c r="M58" s="2">
        <f t="shared" ref="M58:Q58" si="212">((99*M47)/(1000000))*M63</f>
        <v>61.818767999999992</v>
      </c>
      <c r="N58" s="2">
        <f t="shared" si="212"/>
        <v>85.003395839999996</v>
      </c>
      <c r="O58" s="2">
        <f t="shared" si="212"/>
        <v>116.90010097919998</v>
      </c>
      <c r="P58" s="2">
        <f t="shared" si="212"/>
        <v>160.78808678169594</v>
      </c>
      <c r="Q58" s="2">
        <f t="shared" si="212"/>
        <v>221.18261036686837</v>
      </c>
    </row>
    <row r="59" spans="1:145" x14ac:dyDescent="0.25">
      <c r="A59" s="2" t="s">
        <v>73</v>
      </c>
      <c r="L59" s="2">
        <f>SUM(L57:L58)</f>
        <v>3948.4427999999998</v>
      </c>
      <c r="M59" s="2">
        <f t="shared" ref="M59:P59" si="213">SUM(M57:M58)</f>
        <v>6286.7659679999997</v>
      </c>
      <c r="N59" s="2">
        <f t="shared" si="213"/>
        <v>8880.7169318399992</v>
      </c>
      <c r="O59" s="2">
        <f t="shared" si="213"/>
        <v>12447.995468659195</v>
      </c>
      <c r="P59" s="2">
        <f t="shared" si="213"/>
        <v>17543.950538340086</v>
      </c>
      <c r="Q59" s="2">
        <f t="shared" ref="Q59" si="214">SUM(Q57:Q58)</f>
        <v>24894.056032608652</v>
      </c>
    </row>
    <row r="60" spans="1:145" x14ac:dyDescent="0.25">
      <c r="A60" s="2" t="s">
        <v>79</v>
      </c>
      <c r="L60" s="2">
        <f>L59*L64</f>
        <v>3158.7542400000002</v>
      </c>
      <c r="M60" s="2">
        <f t="shared" ref="M60:Q60" si="215">M59*M64</f>
        <v>5029.4127743999998</v>
      </c>
      <c r="N60" s="2">
        <f t="shared" si="215"/>
        <v>7104.5735454719998</v>
      </c>
      <c r="O60" s="2">
        <f t="shared" si="215"/>
        <v>9958.3963749273571</v>
      </c>
      <c r="P60" s="2">
        <f t="shared" si="215"/>
        <v>14035.160430672069</v>
      </c>
      <c r="Q60" s="2">
        <f t="shared" si="215"/>
        <v>19915.244826086924</v>
      </c>
      <c r="R60" s="2">
        <f>Q60*(1+$X$64)</f>
        <v>20114.397274347793</v>
      </c>
      <c r="S60" s="2">
        <f t="shared" ref="S60:CD60" si="216">R60*(1+$X$64)</f>
        <v>20315.541247091271</v>
      </c>
      <c r="T60" s="2">
        <f t="shared" si="216"/>
        <v>20518.696659562185</v>
      </c>
      <c r="U60" s="2">
        <f t="shared" si="216"/>
        <v>20723.883626157807</v>
      </c>
      <c r="V60" s="2">
        <f t="shared" si="216"/>
        <v>20931.122462419386</v>
      </c>
      <c r="W60" s="2">
        <f t="shared" si="216"/>
        <v>21140.43368704358</v>
      </c>
      <c r="X60" s="2">
        <f t="shared" si="216"/>
        <v>21351.838023914017</v>
      </c>
      <c r="Y60" s="2">
        <f t="shared" si="216"/>
        <v>21565.356404153157</v>
      </c>
      <c r="Z60" s="2">
        <f t="shared" si="216"/>
        <v>21781.009968194689</v>
      </c>
      <c r="AA60" s="2">
        <f t="shared" si="216"/>
        <v>21998.820067876637</v>
      </c>
      <c r="AB60" s="2">
        <f t="shared" si="216"/>
        <v>22218.808268555404</v>
      </c>
      <c r="AC60" s="2">
        <f t="shared" si="216"/>
        <v>22440.996351240959</v>
      </c>
      <c r="AD60" s="2">
        <f t="shared" si="216"/>
        <v>22665.406314753371</v>
      </c>
      <c r="AE60" s="2">
        <f t="shared" si="216"/>
        <v>22892.060377900903</v>
      </c>
      <c r="AF60" s="2">
        <f t="shared" si="216"/>
        <v>23120.980981679913</v>
      </c>
      <c r="AG60" s="2">
        <f t="shared" si="216"/>
        <v>23352.190791496712</v>
      </c>
      <c r="AH60" s="2">
        <f t="shared" si="216"/>
        <v>23585.712699411681</v>
      </c>
      <c r="AI60" s="2">
        <f t="shared" si="216"/>
        <v>23821.569826405797</v>
      </c>
      <c r="AJ60" s="2">
        <f t="shared" si="216"/>
        <v>24059.785524669856</v>
      </c>
      <c r="AK60" s="2">
        <f t="shared" si="216"/>
        <v>24300.383379916555</v>
      </c>
      <c r="AL60" s="2">
        <f t="shared" si="216"/>
        <v>24543.38721371572</v>
      </c>
      <c r="AM60" s="2">
        <f t="shared" si="216"/>
        <v>24788.821085852876</v>
      </c>
      <c r="AN60" s="2">
        <f t="shared" si="216"/>
        <v>25036.709296711404</v>
      </c>
      <c r="AO60" s="2">
        <f t="shared" si="216"/>
        <v>25287.076389678517</v>
      </c>
      <c r="AP60" s="2">
        <f t="shared" si="216"/>
        <v>25539.947153575304</v>
      </c>
      <c r="AQ60" s="2">
        <f t="shared" si="216"/>
        <v>25795.346625111059</v>
      </c>
      <c r="AR60" s="2">
        <f t="shared" si="216"/>
        <v>26053.300091362169</v>
      </c>
      <c r="AS60" s="2">
        <f t="shared" si="216"/>
        <v>26313.833092275792</v>
      </c>
      <c r="AT60" s="2">
        <f t="shared" si="216"/>
        <v>26576.971423198549</v>
      </c>
      <c r="AU60" s="2">
        <f t="shared" si="216"/>
        <v>26842.741137430534</v>
      </c>
      <c r="AV60" s="2">
        <f t="shared" si="216"/>
        <v>27111.168548804839</v>
      </c>
      <c r="AW60" s="2">
        <f t="shared" si="216"/>
        <v>27382.280234292888</v>
      </c>
      <c r="AX60" s="2">
        <f t="shared" si="216"/>
        <v>27656.103036635817</v>
      </c>
      <c r="AY60" s="2">
        <f t="shared" si="216"/>
        <v>27932.664067002177</v>
      </c>
      <c r="AZ60" s="2">
        <f t="shared" si="216"/>
        <v>28211.990707672197</v>
      </c>
      <c r="BA60" s="2">
        <f t="shared" si="216"/>
        <v>28494.110614748919</v>
      </c>
      <c r="BB60" s="2">
        <f t="shared" si="216"/>
        <v>28779.051720896408</v>
      </c>
      <c r="BC60" s="2">
        <f t="shared" si="216"/>
        <v>29066.842238105372</v>
      </c>
      <c r="BD60" s="2">
        <f t="shared" si="216"/>
        <v>29357.510660486427</v>
      </c>
      <c r="BE60" s="2">
        <f t="shared" si="216"/>
        <v>29651.085767091292</v>
      </c>
      <c r="BF60" s="2">
        <f t="shared" si="216"/>
        <v>29947.596624762205</v>
      </c>
      <c r="BG60" s="2">
        <f t="shared" si="216"/>
        <v>30247.072591009826</v>
      </c>
      <c r="BH60" s="2">
        <f t="shared" si="216"/>
        <v>30549.543316919924</v>
      </c>
      <c r="BI60" s="2">
        <f t="shared" si="216"/>
        <v>30855.038750089123</v>
      </c>
      <c r="BJ60" s="2">
        <f t="shared" si="216"/>
        <v>31163.589137590014</v>
      </c>
      <c r="BK60" s="2">
        <f t="shared" si="216"/>
        <v>31475.225028965913</v>
      </c>
      <c r="BL60" s="2">
        <f t="shared" si="216"/>
        <v>31789.977279255574</v>
      </c>
      <c r="BM60" s="2">
        <f t="shared" si="216"/>
        <v>32107.87705204813</v>
      </c>
      <c r="BN60" s="2">
        <f t="shared" si="216"/>
        <v>32428.955822568612</v>
      </c>
      <c r="BO60" s="2">
        <f t="shared" si="216"/>
        <v>32753.245380794298</v>
      </c>
      <c r="BP60" s="2">
        <f t="shared" si="216"/>
        <v>33080.777834602239</v>
      </c>
      <c r="BQ60" s="2">
        <f t="shared" si="216"/>
        <v>33411.585612948264</v>
      </c>
      <c r="BR60" s="2">
        <f t="shared" si="216"/>
        <v>33745.701469077743</v>
      </c>
      <c r="BS60" s="2">
        <f t="shared" si="216"/>
        <v>34083.158483768522</v>
      </c>
      <c r="BT60" s="2">
        <f t="shared" si="216"/>
        <v>34423.99006860621</v>
      </c>
      <c r="BU60" s="2">
        <f t="shared" si="216"/>
        <v>34768.229969292275</v>
      </c>
      <c r="BV60" s="2">
        <f t="shared" si="216"/>
        <v>35115.912268985201</v>
      </c>
      <c r="BW60" s="2">
        <f t="shared" si="216"/>
        <v>35467.071391675054</v>
      </c>
      <c r="BX60" s="2">
        <f t="shared" si="216"/>
        <v>35821.742105591802</v>
      </c>
      <c r="BY60" s="2">
        <f t="shared" si="216"/>
        <v>36179.959526647719</v>
      </c>
      <c r="BZ60" s="2">
        <f t="shared" si="216"/>
        <v>36541.759121914198</v>
      </c>
      <c r="CA60" s="2">
        <f t="shared" si="216"/>
        <v>36907.17671313334</v>
      </c>
      <c r="CB60" s="2">
        <f t="shared" si="216"/>
        <v>37276.248480264672</v>
      </c>
      <c r="CC60" s="2">
        <f t="shared" si="216"/>
        <v>37649.010965067318</v>
      </c>
      <c r="CD60" s="2">
        <f t="shared" si="216"/>
        <v>38025.501074717991</v>
      </c>
      <c r="CE60" s="2">
        <f t="shared" ref="CE60:EJ60" si="217">CD60*(1+$X$64)</f>
        <v>38405.756085465175</v>
      </c>
      <c r="CF60" s="2">
        <f t="shared" si="217"/>
        <v>38789.813646319824</v>
      </c>
      <c r="CG60" s="2">
        <f t="shared" si="217"/>
        <v>39177.711782783022</v>
      </c>
      <c r="CH60" s="2">
        <f t="shared" si="217"/>
        <v>39569.48890061085</v>
      </c>
      <c r="CI60" s="2">
        <f t="shared" si="217"/>
        <v>39965.18378961696</v>
      </c>
      <c r="CJ60" s="2">
        <f t="shared" si="217"/>
        <v>40364.83562751313</v>
      </c>
      <c r="CK60" s="2">
        <f t="shared" si="217"/>
        <v>40768.483983788261</v>
      </c>
      <c r="CL60" s="2">
        <f t="shared" si="217"/>
        <v>41176.168823626147</v>
      </c>
      <c r="CM60" s="2">
        <f t="shared" si="217"/>
        <v>41587.930511862411</v>
      </c>
      <c r="CN60" s="2">
        <f t="shared" si="217"/>
        <v>42003.809816981033</v>
      </c>
      <c r="CO60" s="2">
        <f t="shared" si="217"/>
        <v>42423.847915150844</v>
      </c>
      <c r="CP60" s="2">
        <f t="shared" si="217"/>
        <v>42848.086394302351</v>
      </c>
      <c r="CQ60" s="2">
        <f t="shared" si="217"/>
        <v>43276.567258245377</v>
      </c>
      <c r="CR60" s="2">
        <f t="shared" si="217"/>
        <v>43709.332930827833</v>
      </c>
      <c r="CS60" s="2">
        <f t="shared" si="217"/>
        <v>44146.426260136112</v>
      </c>
      <c r="CT60" s="2">
        <f t="shared" si="217"/>
        <v>44587.890522737471</v>
      </c>
      <c r="CU60" s="2">
        <f t="shared" si="217"/>
        <v>45033.769427964849</v>
      </c>
      <c r="CV60" s="2">
        <f t="shared" si="217"/>
        <v>45484.107122244495</v>
      </c>
      <c r="CW60" s="2">
        <f t="shared" si="217"/>
        <v>45938.948193466938</v>
      </c>
      <c r="CX60" s="2">
        <f t="shared" si="217"/>
        <v>46398.337675401606</v>
      </c>
      <c r="CY60" s="2">
        <f t="shared" si="217"/>
        <v>46862.321052155625</v>
      </c>
      <c r="CZ60" s="2">
        <f t="shared" si="217"/>
        <v>47330.944262677178</v>
      </c>
      <c r="DA60" s="2">
        <f t="shared" si="217"/>
        <v>47804.253705303949</v>
      </c>
      <c r="DB60" s="2">
        <f t="shared" si="217"/>
        <v>48282.296242356992</v>
      </c>
      <c r="DC60" s="2">
        <f t="shared" si="217"/>
        <v>48765.11920478056</v>
      </c>
      <c r="DD60" s="2">
        <f t="shared" si="217"/>
        <v>49252.770396828368</v>
      </c>
      <c r="DE60" s="2">
        <f t="shared" si="217"/>
        <v>49745.298100796652</v>
      </c>
      <c r="DF60" s="2">
        <f t="shared" si="217"/>
        <v>50242.751081804621</v>
      </c>
      <c r="DG60" s="2">
        <f t="shared" si="217"/>
        <v>50745.178592622666</v>
      </c>
      <c r="DH60" s="2">
        <f t="shared" si="217"/>
        <v>51252.630378548893</v>
      </c>
      <c r="DI60" s="2">
        <f t="shared" si="217"/>
        <v>51765.156682334382</v>
      </c>
      <c r="DJ60" s="2">
        <f t="shared" si="217"/>
        <v>52282.80824915773</v>
      </c>
      <c r="DK60" s="2">
        <f t="shared" si="217"/>
        <v>52805.636331649308</v>
      </c>
      <c r="DL60" s="2">
        <f t="shared" si="217"/>
        <v>53333.692694965801</v>
      </c>
      <c r="DM60" s="2">
        <f t="shared" si="217"/>
        <v>53867.029621915462</v>
      </c>
      <c r="DN60" s="2">
        <f t="shared" si="217"/>
        <v>54405.699918134618</v>
      </c>
      <c r="DO60" s="2">
        <f t="shared" si="217"/>
        <v>54949.756917315965</v>
      </c>
      <c r="DP60" s="2">
        <f t="shared" si="217"/>
        <v>55499.254486489124</v>
      </c>
      <c r="DQ60" s="2">
        <f t="shared" si="217"/>
        <v>56054.247031354018</v>
      </c>
      <c r="DR60" s="2">
        <f t="shared" si="217"/>
        <v>56614.789501667561</v>
      </c>
      <c r="DS60" s="2">
        <f t="shared" si="217"/>
        <v>57180.93739668424</v>
      </c>
      <c r="DT60" s="2">
        <f t="shared" si="217"/>
        <v>57752.74677065108</v>
      </c>
      <c r="DU60" s="2">
        <f t="shared" si="217"/>
        <v>58330.27423835759</v>
      </c>
      <c r="DV60" s="2">
        <f t="shared" si="217"/>
        <v>58913.576980741163</v>
      </c>
      <c r="DW60" s="2">
        <f t="shared" si="217"/>
        <v>59502.712750548577</v>
      </c>
      <c r="DX60" s="2">
        <f t="shared" si="217"/>
        <v>60097.739878054061</v>
      </c>
      <c r="DY60" s="2">
        <f t="shared" si="217"/>
        <v>60698.717276834599</v>
      </c>
      <c r="DZ60" s="2">
        <f t="shared" si="217"/>
        <v>61305.704449602948</v>
      </c>
      <c r="EA60" s="2">
        <f t="shared" si="217"/>
        <v>61918.761494098981</v>
      </c>
      <c r="EB60" s="2">
        <f t="shared" si="217"/>
        <v>62537.949109039968</v>
      </c>
      <c r="EC60" s="2">
        <f t="shared" si="217"/>
        <v>63163.328600130371</v>
      </c>
      <c r="ED60" s="2">
        <f t="shared" si="217"/>
        <v>63794.961886131678</v>
      </c>
      <c r="EE60" s="2">
        <f t="shared" si="217"/>
        <v>64432.911504992997</v>
      </c>
      <c r="EF60" s="2">
        <f t="shared" si="217"/>
        <v>65077.240620042925</v>
      </c>
      <c r="EG60" s="2">
        <f t="shared" si="217"/>
        <v>65728.013026243352</v>
      </c>
      <c r="EH60" s="2">
        <f t="shared" si="217"/>
        <v>66385.293156505781</v>
      </c>
      <c r="EI60" s="2">
        <f t="shared" si="217"/>
        <v>67049.146088070833</v>
      </c>
      <c r="EJ60" s="2">
        <f t="shared" si="217"/>
        <v>67719.637548951549</v>
      </c>
    </row>
    <row r="62" spans="1:145" x14ac:dyDescent="0.25">
      <c r="A62" s="2" t="s">
        <v>76</v>
      </c>
      <c r="L62" s="4">
        <v>0.24</v>
      </c>
      <c r="M62" s="4">
        <f>L62*1.2</f>
        <v>0.28799999999999998</v>
      </c>
      <c r="N62" s="4">
        <f>M62*1.2</f>
        <v>0.34559999999999996</v>
      </c>
      <c r="O62" s="4">
        <f t="shared" ref="O62:Q62" si="218">N62*1.2</f>
        <v>0.41471999999999992</v>
      </c>
      <c r="P62" s="4">
        <f t="shared" si="218"/>
        <v>0.49766399999999988</v>
      </c>
      <c r="Q62" s="4">
        <f t="shared" si="218"/>
        <v>0.59719679999999986</v>
      </c>
      <c r="R62" s="4">
        <v>0.71</v>
      </c>
      <c r="S62" s="4">
        <v>0.73</v>
      </c>
      <c r="T62" s="4">
        <v>0.75</v>
      </c>
      <c r="U62" s="4">
        <v>0.75</v>
      </c>
    </row>
    <row r="63" spans="1:145" x14ac:dyDescent="0.25">
      <c r="A63" s="2" t="s">
        <v>77</v>
      </c>
      <c r="L63" s="4">
        <v>0.2</v>
      </c>
      <c r="M63" s="4">
        <f>L63*1.2</f>
        <v>0.24</v>
      </c>
      <c r="N63" s="4">
        <f>M63*1.2</f>
        <v>0.28799999999999998</v>
      </c>
      <c r="O63" s="4">
        <f t="shared" ref="O63:R63" si="219">N63*1.2</f>
        <v>0.34559999999999996</v>
      </c>
      <c r="P63" s="4">
        <f t="shared" si="219"/>
        <v>0.41471999999999992</v>
      </c>
      <c r="Q63" s="4">
        <f t="shared" si="219"/>
        <v>0.49766399999999988</v>
      </c>
      <c r="R63" s="4">
        <f t="shared" si="219"/>
        <v>0.59719679999999986</v>
      </c>
      <c r="S63" s="4">
        <f t="shared" ref="S63:U63" si="220">R63*1.1</f>
        <v>0.65691647999999991</v>
      </c>
      <c r="T63" s="4">
        <f t="shared" si="220"/>
        <v>0.72260812799999996</v>
      </c>
      <c r="U63" s="4">
        <f t="shared" si="220"/>
        <v>0.79486894080000003</v>
      </c>
    </row>
    <row r="64" spans="1:145" x14ac:dyDescent="0.25">
      <c r="A64" s="2" t="s">
        <v>78</v>
      </c>
      <c r="L64" s="4">
        <v>0.8</v>
      </c>
      <c r="M64" s="4">
        <v>0.8</v>
      </c>
      <c r="N64" s="4">
        <v>0.8</v>
      </c>
      <c r="O64" s="4">
        <v>0.8</v>
      </c>
      <c r="P64" s="4">
        <v>0.8</v>
      </c>
      <c r="Q64" s="4">
        <v>0.8</v>
      </c>
      <c r="R64" s="4">
        <v>0.8</v>
      </c>
      <c r="S64" s="4">
        <v>0.8</v>
      </c>
      <c r="T64" s="4">
        <v>0.8</v>
      </c>
      <c r="U64" s="4">
        <v>0.8</v>
      </c>
      <c r="W64" s="2" t="s">
        <v>16</v>
      </c>
      <c r="X64" s="4">
        <v>0.01</v>
      </c>
    </row>
    <row r="65" spans="1:141" x14ac:dyDescent="0.25">
      <c r="W65" s="2" t="s">
        <v>17</v>
      </c>
      <c r="X65" s="4">
        <v>0.15</v>
      </c>
    </row>
    <row r="66" spans="1:141" x14ac:dyDescent="0.25">
      <c r="A66" s="2" t="s">
        <v>51</v>
      </c>
      <c r="L66" s="2">
        <v>5000</v>
      </c>
      <c r="M66" s="2">
        <v>50000</v>
      </c>
      <c r="N66" s="2">
        <f>M66*2</f>
        <v>100000</v>
      </c>
      <c r="O66" s="2">
        <f>N66*2</f>
        <v>200000</v>
      </c>
      <c r="P66" s="2">
        <f>O66*2</f>
        <v>400000</v>
      </c>
      <c r="Q66" s="2">
        <f>P66*2</f>
        <v>800000</v>
      </c>
      <c r="W66" s="2" t="s">
        <v>18</v>
      </c>
      <c r="X66" s="2">
        <f>NPV(X65,L60:EJ60)</f>
        <v>94617.027370253287</v>
      </c>
    </row>
    <row r="67" spans="1:141" x14ac:dyDescent="0.25">
      <c r="A67" s="2" t="s">
        <v>53</v>
      </c>
      <c r="L67" s="2">
        <v>30000</v>
      </c>
      <c r="M67" s="2">
        <v>30000</v>
      </c>
      <c r="N67" s="2">
        <v>30000</v>
      </c>
      <c r="O67" s="2">
        <v>30000</v>
      </c>
      <c r="P67" s="2">
        <v>30000</v>
      </c>
      <c r="Q67" s="2">
        <v>30000</v>
      </c>
    </row>
    <row r="68" spans="1:141" x14ac:dyDescent="0.25">
      <c r="A68" s="2" t="s">
        <v>54</v>
      </c>
      <c r="L68" s="2">
        <v>10000</v>
      </c>
      <c r="M68" s="2">
        <f>L68*0.98</f>
        <v>9800</v>
      </c>
      <c r="N68" s="2">
        <f t="shared" ref="N68:Q68" si="221">M68*0.98</f>
        <v>9604</v>
      </c>
      <c r="O68" s="2">
        <f t="shared" si="221"/>
        <v>9411.92</v>
      </c>
      <c r="P68" s="2">
        <f t="shared" si="221"/>
        <v>9223.6815999999999</v>
      </c>
      <c r="Q68" s="2">
        <f t="shared" si="221"/>
        <v>9039.2079680000006</v>
      </c>
    </row>
    <row r="69" spans="1:141" x14ac:dyDescent="0.25">
      <c r="A69" s="2" t="s">
        <v>56</v>
      </c>
      <c r="L69" s="2">
        <f>(L67-L68)*L66/1000000</f>
        <v>100</v>
      </c>
      <c r="M69" s="2">
        <f t="shared" ref="M69:Q69" si="222">(M67-M68)*M66/1000000</f>
        <v>1010</v>
      </c>
      <c r="N69" s="2">
        <f t="shared" si="222"/>
        <v>2039.6</v>
      </c>
      <c r="O69" s="2">
        <f t="shared" si="222"/>
        <v>4117.6160000000009</v>
      </c>
      <c r="P69" s="2">
        <f t="shared" si="222"/>
        <v>8310.52736</v>
      </c>
      <c r="Q69" s="2">
        <f t="shared" si="222"/>
        <v>16768.6336256</v>
      </c>
      <c r="R69" s="2">
        <f>Q69*(1+$T$72)</f>
        <v>16936.319961855999</v>
      </c>
      <c r="S69" s="2">
        <f t="shared" ref="S69:CD69" si="223">R69*(1+$T$72)</f>
        <v>17105.683161474561</v>
      </c>
      <c r="T69" s="2">
        <f t="shared" si="223"/>
        <v>17276.739993089308</v>
      </c>
      <c r="U69" s="2">
        <f t="shared" si="223"/>
        <v>17449.507393020202</v>
      </c>
      <c r="V69" s="2">
        <f t="shared" si="223"/>
        <v>17624.002466950406</v>
      </c>
      <c r="W69" s="2">
        <f t="shared" si="223"/>
        <v>17800.242491619909</v>
      </c>
      <c r="X69" s="2">
        <f t="shared" si="223"/>
        <v>17978.244916536107</v>
      </c>
      <c r="Y69" s="2">
        <f t="shared" si="223"/>
        <v>18158.02736570147</v>
      </c>
      <c r="Z69" s="2">
        <f t="shared" si="223"/>
        <v>18339.607639358484</v>
      </c>
      <c r="AA69" s="2">
        <f t="shared" si="223"/>
        <v>18523.003715752071</v>
      </c>
      <c r="AB69" s="2">
        <f t="shared" si="223"/>
        <v>18708.233752909593</v>
      </c>
      <c r="AC69" s="2">
        <f t="shared" si="223"/>
        <v>18895.31609043869</v>
      </c>
      <c r="AD69" s="2">
        <f t="shared" si="223"/>
        <v>19084.269251343077</v>
      </c>
      <c r="AE69" s="2">
        <f t="shared" si="223"/>
        <v>19275.111943856507</v>
      </c>
      <c r="AF69" s="2">
        <f t="shared" si="223"/>
        <v>19467.863063295074</v>
      </c>
      <c r="AG69" s="2">
        <f t="shared" si="223"/>
        <v>19662.541693928026</v>
      </c>
      <c r="AH69" s="2">
        <f t="shared" si="223"/>
        <v>19859.167110867307</v>
      </c>
      <c r="AI69" s="2">
        <f t="shared" si="223"/>
        <v>20057.758781975979</v>
      </c>
      <c r="AJ69" s="2">
        <f t="shared" si="223"/>
        <v>20258.336369795739</v>
      </c>
      <c r="AK69" s="2">
        <f t="shared" si="223"/>
        <v>20460.919733493698</v>
      </c>
      <c r="AL69" s="2">
        <f t="shared" si="223"/>
        <v>20665.528930828634</v>
      </c>
      <c r="AM69" s="2">
        <f t="shared" si="223"/>
        <v>20872.184220136922</v>
      </c>
      <c r="AN69" s="2">
        <f t="shared" si="223"/>
        <v>21080.90606233829</v>
      </c>
      <c r="AO69" s="2">
        <f t="shared" si="223"/>
        <v>21291.715122961672</v>
      </c>
      <c r="AP69" s="2">
        <f t="shared" si="223"/>
        <v>21504.632274191288</v>
      </c>
      <c r="AQ69" s="2">
        <f t="shared" si="223"/>
        <v>21719.678596933201</v>
      </c>
      <c r="AR69" s="2">
        <f t="shared" si="223"/>
        <v>21936.875382902534</v>
      </c>
      <c r="AS69" s="2">
        <f t="shared" si="223"/>
        <v>22156.244136731559</v>
      </c>
      <c r="AT69" s="2">
        <f t="shared" si="223"/>
        <v>22377.806578098873</v>
      </c>
      <c r="AU69" s="2">
        <f t="shared" si="223"/>
        <v>22601.584643879862</v>
      </c>
      <c r="AV69" s="2">
        <f t="shared" si="223"/>
        <v>22827.600490318662</v>
      </c>
      <c r="AW69" s="2">
        <f t="shared" si="223"/>
        <v>23055.876495221848</v>
      </c>
      <c r="AX69" s="2">
        <f t="shared" si="223"/>
        <v>23286.435260174068</v>
      </c>
      <c r="AY69" s="2">
        <f t="shared" si="223"/>
        <v>23519.299612775809</v>
      </c>
      <c r="AZ69" s="2">
        <f t="shared" si="223"/>
        <v>23754.492608903565</v>
      </c>
      <c r="BA69" s="2">
        <f t="shared" si="223"/>
        <v>23992.0375349926</v>
      </c>
      <c r="BB69" s="2">
        <f t="shared" si="223"/>
        <v>24231.957910342528</v>
      </c>
      <c r="BC69" s="2">
        <f t="shared" si="223"/>
        <v>24474.277489445954</v>
      </c>
      <c r="BD69" s="2">
        <f t="shared" si="223"/>
        <v>24719.020264340415</v>
      </c>
      <c r="BE69" s="2">
        <f t="shared" si="223"/>
        <v>24966.210466983819</v>
      </c>
      <c r="BF69" s="2">
        <f t="shared" si="223"/>
        <v>25215.872571653657</v>
      </c>
      <c r="BG69" s="2">
        <f t="shared" si="223"/>
        <v>25468.031297370195</v>
      </c>
      <c r="BH69" s="2">
        <f t="shared" si="223"/>
        <v>25722.711610343897</v>
      </c>
      <c r="BI69" s="2">
        <f t="shared" si="223"/>
        <v>25979.938726447337</v>
      </c>
      <c r="BJ69" s="2">
        <f t="shared" si="223"/>
        <v>26239.73811371181</v>
      </c>
      <c r="BK69" s="2">
        <f t="shared" si="223"/>
        <v>26502.135494848928</v>
      </c>
      <c r="BL69" s="2">
        <f t="shared" si="223"/>
        <v>26767.156849797419</v>
      </c>
      <c r="BM69" s="2">
        <f t="shared" si="223"/>
        <v>27034.828418295394</v>
      </c>
      <c r="BN69" s="2">
        <f t="shared" si="223"/>
        <v>27305.176702478348</v>
      </c>
      <c r="BO69" s="2">
        <f t="shared" si="223"/>
        <v>27578.22846950313</v>
      </c>
      <c r="BP69" s="2">
        <f t="shared" si="223"/>
        <v>27854.010754198163</v>
      </c>
      <c r="BQ69" s="2">
        <f t="shared" si="223"/>
        <v>28132.550861740147</v>
      </c>
      <c r="BR69" s="2">
        <f t="shared" si="223"/>
        <v>28413.87637035755</v>
      </c>
      <c r="BS69" s="2">
        <f t="shared" si="223"/>
        <v>28698.015134061126</v>
      </c>
      <c r="BT69" s="2">
        <f t="shared" si="223"/>
        <v>28984.995285401739</v>
      </c>
      <c r="BU69" s="2">
        <f t="shared" si="223"/>
        <v>29274.845238255755</v>
      </c>
      <c r="BV69" s="2">
        <f t="shared" si="223"/>
        <v>29567.593690638314</v>
      </c>
      <c r="BW69" s="2">
        <f t="shared" si="223"/>
        <v>29863.269627544698</v>
      </c>
      <c r="BX69" s="2">
        <f t="shared" si="223"/>
        <v>30161.902323820144</v>
      </c>
      <c r="BY69" s="2">
        <f t="shared" si="223"/>
        <v>30463.521347058348</v>
      </c>
      <c r="BZ69" s="2">
        <f t="shared" si="223"/>
        <v>30768.156560528932</v>
      </c>
      <c r="CA69" s="2">
        <f t="shared" si="223"/>
        <v>31075.838126134222</v>
      </c>
      <c r="CB69" s="2">
        <f t="shared" si="223"/>
        <v>31386.596507395563</v>
      </c>
      <c r="CC69" s="2">
        <f t="shared" si="223"/>
        <v>31700.46247246952</v>
      </c>
      <c r="CD69" s="2">
        <f t="shared" si="223"/>
        <v>32017.467097194214</v>
      </c>
      <c r="CE69" s="2">
        <f t="shared" ref="CE69:EK69" si="224">CD69*(1+$T$72)</f>
        <v>32337.641768166155</v>
      </c>
      <c r="CF69" s="2">
        <f t="shared" si="224"/>
        <v>32661.018185847817</v>
      </c>
      <c r="CG69" s="2">
        <f t="shared" si="224"/>
        <v>32987.628367706297</v>
      </c>
      <c r="CH69" s="2">
        <f t="shared" si="224"/>
        <v>33317.504651383359</v>
      </c>
      <c r="CI69" s="2">
        <f t="shared" si="224"/>
        <v>33650.679697897191</v>
      </c>
      <c r="CJ69" s="2">
        <f t="shared" si="224"/>
        <v>33987.186494876165</v>
      </c>
      <c r="CK69" s="2">
        <f t="shared" si="224"/>
        <v>34327.058359824929</v>
      </c>
      <c r="CL69" s="2">
        <f t="shared" si="224"/>
        <v>34670.328943423177</v>
      </c>
      <c r="CM69" s="2">
        <f t="shared" si="224"/>
        <v>35017.032232857411</v>
      </c>
      <c r="CN69" s="2">
        <f t="shared" si="224"/>
        <v>35367.202555185984</v>
      </c>
      <c r="CO69" s="2">
        <f t="shared" si="224"/>
        <v>35720.874580737844</v>
      </c>
      <c r="CP69" s="2">
        <f t="shared" si="224"/>
        <v>36078.083326545224</v>
      </c>
      <c r="CQ69" s="2">
        <f t="shared" si="224"/>
        <v>36438.864159810677</v>
      </c>
      <c r="CR69" s="2">
        <f t="shared" si="224"/>
        <v>36803.252801408787</v>
      </c>
      <c r="CS69" s="2">
        <f t="shared" si="224"/>
        <v>37171.285329422877</v>
      </c>
      <c r="CT69" s="2">
        <f t="shared" si="224"/>
        <v>37542.998182717107</v>
      </c>
      <c r="CU69" s="2">
        <f t="shared" si="224"/>
        <v>37918.428164544275</v>
      </c>
      <c r="CV69" s="2">
        <f t="shared" si="224"/>
        <v>38297.61244618972</v>
      </c>
      <c r="CW69" s="2">
        <f t="shared" si="224"/>
        <v>38680.58857065162</v>
      </c>
      <c r="CX69" s="2">
        <f t="shared" si="224"/>
        <v>39067.394456358139</v>
      </c>
      <c r="CY69" s="2">
        <f t="shared" si="224"/>
        <v>39458.068400921722</v>
      </c>
      <c r="CZ69" s="2">
        <f t="shared" si="224"/>
        <v>39852.649084930941</v>
      </c>
      <c r="DA69" s="2">
        <f t="shared" si="224"/>
        <v>40251.175575780253</v>
      </c>
      <c r="DB69" s="2">
        <f t="shared" si="224"/>
        <v>40653.687331538058</v>
      </c>
      <c r="DC69" s="2">
        <f t="shared" si="224"/>
        <v>41060.224204853439</v>
      </c>
      <c r="DD69" s="2">
        <f t="shared" si="224"/>
        <v>41470.82644690197</v>
      </c>
      <c r="DE69" s="2">
        <f t="shared" si="224"/>
        <v>41885.534711370994</v>
      </c>
      <c r="DF69" s="2">
        <f t="shared" si="224"/>
        <v>42304.390058484707</v>
      </c>
      <c r="DG69" s="2">
        <f t="shared" si="224"/>
        <v>42727.433959069553</v>
      </c>
      <c r="DH69" s="2">
        <f t="shared" si="224"/>
        <v>43154.708298660247</v>
      </c>
      <c r="DI69" s="2">
        <f t="shared" si="224"/>
        <v>43586.25538164685</v>
      </c>
      <c r="DJ69" s="2">
        <f t="shared" si="224"/>
        <v>44022.11793546332</v>
      </c>
      <c r="DK69" s="2">
        <f t="shared" si="224"/>
        <v>44462.339114817951</v>
      </c>
      <c r="DL69" s="2">
        <f t="shared" si="224"/>
        <v>44906.962505966134</v>
      </c>
      <c r="DM69" s="2">
        <f t="shared" si="224"/>
        <v>45356.032131025793</v>
      </c>
      <c r="DN69" s="2">
        <f t="shared" si="224"/>
        <v>45809.592452336052</v>
      </c>
      <c r="DO69" s="2">
        <f t="shared" si="224"/>
        <v>46267.688376859413</v>
      </c>
      <c r="DP69" s="2">
        <f t="shared" si="224"/>
        <v>46730.365260628008</v>
      </c>
      <c r="DQ69" s="2">
        <f t="shared" si="224"/>
        <v>47197.668913234287</v>
      </c>
      <c r="DR69" s="2">
        <f t="shared" si="224"/>
        <v>47669.645602366632</v>
      </c>
      <c r="DS69" s="2">
        <f t="shared" si="224"/>
        <v>48146.342058390299</v>
      </c>
      <c r="DT69" s="2">
        <f t="shared" si="224"/>
        <v>48627.805478974202</v>
      </c>
      <c r="DU69" s="2">
        <f t="shared" si="224"/>
        <v>49114.083533763944</v>
      </c>
      <c r="DV69" s="2">
        <f t="shared" si="224"/>
        <v>49605.224369101583</v>
      </c>
      <c r="DW69" s="2">
        <f t="shared" si="224"/>
        <v>50101.276612792601</v>
      </c>
      <c r="DX69" s="2">
        <f t="shared" si="224"/>
        <v>50602.289378920526</v>
      </c>
      <c r="DY69" s="2">
        <f t="shared" si="224"/>
        <v>51108.312272709729</v>
      </c>
      <c r="DZ69" s="2">
        <f t="shared" si="224"/>
        <v>51619.395395436826</v>
      </c>
      <c r="EA69" s="2">
        <f t="shared" si="224"/>
        <v>52135.589349391194</v>
      </c>
      <c r="EB69" s="2">
        <f t="shared" si="224"/>
        <v>52656.945242885107</v>
      </c>
      <c r="EC69" s="2">
        <f t="shared" si="224"/>
        <v>53183.514695313956</v>
      </c>
      <c r="ED69" s="2">
        <f t="shared" si="224"/>
        <v>53715.349842267096</v>
      </c>
      <c r="EE69" s="2">
        <f t="shared" si="224"/>
        <v>54252.503340689771</v>
      </c>
      <c r="EF69" s="2">
        <f t="shared" si="224"/>
        <v>54795.02837409667</v>
      </c>
      <c r="EG69" s="2">
        <f t="shared" si="224"/>
        <v>55342.978657837637</v>
      </c>
      <c r="EH69" s="2">
        <f t="shared" si="224"/>
        <v>55896.408444416011</v>
      </c>
      <c r="EI69" s="2">
        <f t="shared" si="224"/>
        <v>56455.372528860171</v>
      </c>
      <c r="EJ69" s="2">
        <f t="shared" si="224"/>
        <v>57019.92625414877</v>
      </c>
      <c r="EK69" s="2">
        <f t="shared" si="224"/>
        <v>57590.125516690256</v>
      </c>
    </row>
    <row r="71" spans="1:141" x14ac:dyDescent="0.25">
      <c r="A71" s="2" t="s">
        <v>55</v>
      </c>
      <c r="L71" s="4">
        <f>L67/L68-1</f>
        <v>2</v>
      </c>
      <c r="M71" s="4">
        <f>M67/M68-1</f>
        <v>2.0612244897959182</v>
      </c>
      <c r="N71" s="4">
        <f>N67/N68-1</f>
        <v>2.1236984589754271</v>
      </c>
      <c r="O71" s="4">
        <f>O67/O68-1</f>
        <v>2.1874474071177827</v>
      </c>
      <c r="P71" s="4">
        <f>P67/P68-1</f>
        <v>2.252497354201819</v>
      </c>
      <c r="Q71" s="4">
        <f t="shared" ref="Q71" si="225">Q67/Q68-1</f>
        <v>2.3188748512263455</v>
      </c>
      <c r="R71" s="4"/>
      <c r="S71" s="4"/>
      <c r="T71" s="4"/>
      <c r="U71" s="4"/>
    </row>
    <row r="72" spans="1:141" x14ac:dyDescent="0.25">
      <c r="A72" s="2" t="s">
        <v>57</v>
      </c>
      <c r="M72" s="4">
        <f>M66/L66-1</f>
        <v>9</v>
      </c>
      <c r="N72" s="4">
        <f t="shared" ref="N72:P72" si="226">N66/M66-1</f>
        <v>1</v>
      </c>
      <c r="O72" s="4">
        <f t="shared" si="226"/>
        <v>1</v>
      </c>
      <c r="P72" s="4">
        <f t="shared" si="226"/>
        <v>1</v>
      </c>
      <c r="Q72" s="4">
        <f t="shared" ref="Q72" si="227">Q66/P66-1</f>
        <v>1</v>
      </c>
      <c r="R72" s="4"/>
      <c r="S72" s="2" t="s">
        <v>16</v>
      </c>
      <c r="T72" s="4">
        <v>0.01</v>
      </c>
      <c r="U72" s="4"/>
    </row>
    <row r="73" spans="1:141" x14ac:dyDescent="0.25">
      <c r="S73" s="2" t="s">
        <v>17</v>
      </c>
      <c r="T73" s="4">
        <v>0.25</v>
      </c>
    </row>
    <row r="74" spans="1:141" x14ac:dyDescent="0.25">
      <c r="A74" s="2" t="s">
        <v>58</v>
      </c>
      <c r="L74" s="2">
        <f>L66+K66</f>
        <v>5000</v>
      </c>
      <c r="M74" s="2">
        <f>L74+M66</f>
        <v>55000</v>
      </c>
      <c r="N74" s="2">
        <f t="shared" ref="N74:P74" si="228">M74+N66</f>
        <v>155000</v>
      </c>
      <c r="O74" s="2">
        <f t="shared" si="228"/>
        <v>355000</v>
      </c>
      <c r="P74" s="2">
        <f t="shared" si="228"/>
        <v>755000</v>
      </c>
      <c r="Q74" s="2">
        <f t="shared" ref="Q74" si="229">P74+Q66</f>
        <v>1555000</v>
      </c>
      <c r="S74" s="2" t="s">
        <v>18</v>
      </c>
      <c r="T74" s="2">
        <f>NPV(T73,L69:EK69)</f>
        <v>29075.21876234957</v>
      </c>
    </row>
    <row r="76" spans="1:141" x14ac:dyDescent="0.25">
      <c r="A76" s="2" t="s">
        <v>68</v>
      </c>
      <c r="B76" s="2">
        <v>242</v>
      </c>
      <c r="C76" s="2">
        <v>3612</v>
      </c>
      <c r="D76" s="2">
        <v>6255</v>
      </c>
      <c r="E76" s="2">
        <v>4814</v>
      </c>
      <c r="I76" s="2">
        <v>14724</v>
      </c>
      <c r="J76" s="2">
        <v>13256</v>
      </c>
      <c r="K76" s="2">
        <v>14923</v>
      </c>
    </row>
    <row r="77" spans="1:141" x14ac:dyDescent="0.25">
      <c r="A77" s="2" t="s">
        <v>69</v>
      </c>
      <c r="B77" s="2">
        <v>2773</v>
      </c>
      <c r="C77" s="2">
        <v>2270</v>
      </c>
      <c r="D77" s="2">
        <v>3513</v>
      </c>
      <c r="E77" s="2">
        <v>2783</v>
      </c>
      <c r="I77" s="2">
        <f>7158+5-936</f>
        <v>6227</v>
      </c>
      <c r="J77" s="2">
        <f>8898+1</f>
        <v>8899</v>
      </c>
      <c r="K77" s="2">
        <f>11339+3</f>
        <v>11342</v>
      </c>
    </row>
    <row r="78" spans="1:141" x14ac:dyDescent="0.25">
      <c r="A78" s="2" t="s">
        <v>66</v>
      </c>
      <c r="B78" s="2">
        <f>B76-B77</f>
        <v>-2531</v>
      </c>
      <c r="C78" s="2">
        <f>C76-C77</f>
        <v>1342</v>
      </c>
      <c r="D78" s="2">
        <f>D76-D77</f>
        <v>2742</v>
      </c>
      <c r="E78" s="2">
        <f>E76-E77</f>
        <v>2031</v>
      </c>
      <c r="F78" s="2">
        <f>F76-F77</f>
        <v>0</v>
      </c>
      <c r="H78" s="2">
        <f t="shared" ref="H78:K78" si="230">H76-H77</f>
        <v>0</v>
      </c>
      <c r="I78" s="2">
        <f t="shared" si="230"/>
        <v>8497</v>
      </c>
      <c r="J78" s="2">
        <f t="shared" si="230"/>
        <v>4357</v>
      </c>
      <c r="K78" s="2">
        <f t="shared" si="230"/>
        <v>3581</v>
      </c>
      <c r="L78" s="2">
        <f t="shared" ref="L78:Q78" si="231">L79*L18</f>
        <v>10420.874453031372</v>
      </c>
      <c r="M78" s="2">
        <f t="shared" si="231"/>
        <v>16165.330170217863</v>
      </c>
      <c r="N78" s="2">
        <f t="shared" si="231"/>
        <v>22915.786374473682</v>
      </c>
      <c r="O78" s="2">
        <f t="shared" si="231"/>
        <v>32114.182773257297</v>
      </c>
      <c r="P78" s="2">
        <f t="shared" si="231"/>
        <v>44975.721367908176</v>
      </c>
      <c r="Q78" s="2">
        <f t="shared" si="231"/>
        <v>63073.27884882185</v>
      </c>
    </row>
    <row r="79" spans="1:141" x14ac:dyDescent="0.25">
      <c r="I79" s="4">
        <f>I78/I18</f>
        <v>0.66356891839125343</v>
      </c>
      <c r="J79" s="4">
        <f>J78/J18</f>
        <v>0.29435211457911092</v>
      </c>
      <c r="K79" s="4">
        <f>K78/K18</f>
        <v>0.50140016802016241</v>
      </c>
      <c r="L79" s="4">
        <v>0.66</v>
      </c>
      <c r="M79" s="4">
        <f>L79*1.02</f>
        <v>0.67320000000000002</v>
      </c>
      <c r="N79" s="4">
        <f t="shared" ref="N79:Q79" si="232">M79*1.02</f>
        <v>0.68666400000000005</v>
      </c>
      <c r="O79" s="4">
        <f t="shared" si="232"/>
        <v>0.70039728000000001</v>
      </c>
      <c r="P79" s="4">
        <f t="shared" si="232"/>
        <v>0.71440522559999997</v>
      </c>
      <c r="Q79" s="4">
        <f t="shared" si="232"/>
        <v>0.72869333011199999</v>
      </c>
    </row>
    <row r="81" spans="1:21" x14ac:dyDescent="0.25">
      <c r="A81" s="2" t="s">
        <v>81</v>
      </c>
      <c r="K81" s="2">
        <f>100000+550000+250000+125000</f>
        <v>1025000</v>
      </c>
      <c r="L81" s="2">
        <f>K81*1.5</f>
        <v>1537500</v>
      </c>
      <c r="M81" s="2">
        <f>K81*2</f>
        <v>2050000</v>
      </c>
      <c r="N81" s="2">
        <f>M81*1.2</f>
        <v>2460000</v>
      </c>
      <c r="O81" s="2">
        <f t="shared" ref="O81:P83" si="233">N81*1.1</f>
        <v>2706000</v>
      </c>
      <c r="P81" s="2">
        <f t="shared" si="233"/>
        <v>2976600.0000000005</v>
      </c>
      <c r="Q81" s="2">
        <f t="shared" ref="Q81:Q83" si="234">P81*1.1</f>
        <v>3274260.0000000009</v>
      </c>
    </row>
    <row r="82" spans="1:21" x14ac:dyDescent="0.25">
      <c r="A82" s="2" t="s">
        <v>82</v>
      </c>
      <c r="K82" s="2">
        <v>375000</v>
      </c>
      <c r="L82" s="2">
        <f>K82*1.2</f>
        <v>450000</v>
      </c>
      <c r="M82" s="2">
        <f t="shared" ref="M82:N82" si="235">L82*1.2</f>
        <v>540000</v>
      </c>
      <c r="N82" s="2">
        <f t="shared" si="235"/>
        <v>648000</v>
      </c>
      <c r="O82" s="2">
        <f t="shared" ref="O82" si="236">N82*1.2</f>
        <v>777600</v>
      </c>
      <c r="P82" s="2">
        <f t="shared" ref="P82" si="237">O82*1.2</f>
        <v>933120</v>
      </c>
      <c r="Q82" s="2">
        <f t="shared" ref="Q82" si="238">P82*1.2</f>
        <v>1119744</v>
      </c>
    </row>
    <row r="83" spans="1:21" x14ac:dyDescent="0.25">
      <c r="A83" s="2" t="s">
        <v>83</v>
      </c>
      <c r="K83" s="2">
        <v>950000</v>
      </c>
      <c r="L83" s="2">
        <f>K83*1.1</f>
        <v>1045000.0000000001</v>
      </c>
      <c r="M83" s="2">
        <f t="shared" ref="M83" si="239">L83*1.1</f>
        <v>1149500.0000000002</v>
      </c>
      <c r="N83" s="2">
        <f>M83*1.1</f>
        <v>1264450.0000000005</v>
      </c>
      <c r="O83" s="2">
        <f t="shared" si="233"/>
        <v>1390895.0000000007</v>
      </c>
      <c r="P83" s="2">
        <f t="shared" si="233"/>
        <v>1529984.5000000009</v>
      </c>
      <c r="Q83" s="2">
        <f t="shared" si="234"/>
        <v>1682982.9500000011</v>
      </c>
    </row>
    <row r="84" spans="1:21" x14ac:dyDescent="0.25">
      <c r="A84" s="2" t="s">
        <v>15</v>
      </c>
      <c r="K84" s="2">
        <f>SUM(K81:K83)</f>
        <v>2350000</v>
      </c>
      <c r="L84" s="2">
        <f t="shared" ref="L84:M84" si="240">SUM(L81:L83)</f>
        <v>3032500</v>
      </c>
      <c r="M84" s="2">
        <f t="shared" si="240"/>
        <v>3739500</v>
      </c>
      <c r="N84" s="2">
        <f t="shared" ref="N84" si="241">SUM(N81:N83)</f>
        <v>4372450</v>
      </c>
      <c r="O84" s="2">
        <f t="shared" ref="O84" si="242">SUM(O81:O83)</f>
        <v>4874495.0000000009</v>
      </c>
      <c r="P84" s="2">
        <f t="shared" ref="P84" si="243">SUM(P81:P83)</f>
        <v>5439704.5000000019</v>
      </c>
      <c r="Q84" s="2">
        <f t="shared" ref="Q84" si="244">SUM(Q81:Q83)</f>
        <v>6076986.950000002</v>
      </c>
    </row>
    <row r="86" spans="1:21" x14ac:dyDescent="0.25">
      <c r="A86" s="2" t="s">
        <v>84</v>
      </c>
      <c r="K86" s="4">
        <f t="shared" ref="K86:Q86" si="245">K84/K42</f>
        <v>1.3993609386555892</v>
      </c>
      <c r="L86" s="4">
        <f t="shared" si="245"/>
        <v>1.4894400785854618</v>
      </c>
      <c r="M86" s="4">
        <f t="shared" si="245"/>
        <v>1.3840772818121252</v>
      </c>
      <c r="N86" s="4">
        <f t="shared" si="245"/>
        <v>1.3744137653552613</v>
      </c>
      <c r="O86" s="4">
        <f t="shared" si="245"/>
        <v>1.3115140260441209</v>
      </c>
      <c r="P86" s="4">
        <f t="shared" si="245"/>
        <v>1.2458700114352579</v>
      </c>
      <c r="Q86" s="4">
        <f t="shared" si="245"/>
        <v>1.176727849431658</v>
      </c>
      <c r="R86" s="4"/>
      <c r="S86" s="4"/>
      <c r="T86" s="4"/>
      <c r="U86" s="4"/>
    </row>
    <row r="87" spans="1:21" x14ac:dyDescent="0.25">
      <c r="L87" s="4">
        <f>L81/K81-1</f>
        <v>0.5</v>
      </c>
      <c r="M87" s="4">
        <f>M81/L81-1</f>
        <v>0.33333333333333326</v>
      </c>
      <c r="N87" s="4">
        <f>N81/M81-1</f>
        <v>0.19999999999999996</v>
      </c>
      <c r="O87" s="4">
        <f t="shared" ref="O87:Q87" si="246">O81/N81-1</f>
        <v>0.10000000000000009</v>
      </c>
      <c r="P87" s="4">
        <f t="shared" si="246"/>
        <v>0.10000000000000009</v>
      </c>
      <c r="Q87" s="4">
        <f t="shared" si="246"/>
        <v>0.10000000000000009</v>
      </c>
      <c r="R87" s="4"/>
      <c r="S87" s="4"/>
      <c r="T87" s="4"/>
      <c r="U87" s="4"/>
    </row>
    <row r="88" spans="1:21" x14ac:dyDescent="0.25"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2" t="s">
        <v>46</v>
      </c>
      <c r="B89" s="2">
        <v>26863</v>
      </c>
      <c r="C89" s="2">
        <v>30720</v>
      </c>
      <c r="D89" s="2">
        <v>33648</v>
      </c>
      <c r="E89" s="2">
        <v>36563</v>
      </c>
      <c r="K89" s="2">
        <v>36563</v>
      </c>
      <c r="L89" s="2">
        <f t="shared" ref="L89:Q89" si="247">+K89+L18</f>
        <v>52352.203716714197</v>
      </c>
      <c r="M89" s="2">
        <f t="shared" si="247"/>
        <v>76364.874795469193</v>
      </c>
      <c r="N89" s="2">
        <f t="shared" si="247"/>
        <v>109737.50882677661</v>
      </c>
      <c r="O89" s="2">
        <f t="shared" si="247"/>
        <v>155588.89016460432</v>
      </c>
      <c r="P89" s="2">
        <f t="shared" si="247"/>
        <v>218544.36663124815</v>
      </c>
      <c r="Q89" s="2">
        <f t="shared" si="247"/>
        <v>305101.05137423531</v>
      </c>
    </row>
    <row r="91" spans="1:21" x14ac:dyDescent="0.25">
      <c r="A91" s="2" t="s">
        <v>4</v>
      </c>
      <c r="K91" s="4"/>
    </row>
    <row r="92" spans="1:21" x14ac:dyDescent="0.25">
      <c r="A92" s="2" t="s">
        <v>86</v>
      </c>
      <c r="K92" s="4"/>
    </row>
    <row r="93" spans="1:21" x14ac:dyDescent="0.25">
      <c r="K9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2025-03-19T23:40:28Z</dcterms:created>
  <dcterms:modified xsi:type="dcterms:W3CDTF">2025-04-24T01:35:43Z</dcterms:modified>
</cp:coreProperties>
</file>