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EFF8551D-9844-4545-ADCC-10E7086993F3}" xr6:coauthVersionLast="47" xr6:coauthVersionMax="47" xr10:uidLastSave="{00000000-0000-0000-0000-000000000000}"/>
  <bookViews>
    <workbookView xWindow="-105" yWindow="0" windowWidth="14610" windowHeight="16305" activeTab="1" xr2:uid="{B5255683-9904-4B96-B116-504FB2085B5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L5" i="2"/>
  <c r="M5" i="2"/>
  <c r="J5" i="2"/>
  <c r="K31" i="2"/>
  <c r="L31" i="2"/>
  <c r="M31" i="2" s="1"/>
  <c r="J31" i="2"/>
  <c r="I16" i="2"/>
  <c r="H37" i="2"/>
  <c r="H35" i="2"/>
  <c r="I30" i="2"/>
  <c r="G31" i="2"/>
  <c r="H31" i="2"/>
  <c r="F31" i="2"/>
  <c r="G30" i="2"/>
  <c r="H30" i="2"/>
  <c r="F30" i="2"/>
  <c r="D8" i="1"/>
  <c r="H23" i="2"/>
  <c r="G23" i="2"/>
  <c r="H16" i="2"/>
  <c r="G16" i="2"/>
  <c r="F16" i="2"/>
  <c r="G14" i="2"/>
  <c r="H14" i="2"/>
  <c r="F14" i="2"/>
  <c r="G9" i="2"/>
  <c r="H9" i="2"/>
  <c r="F9" i="2"/>
  <c r="G5" i="2"/>
  <c r="H5" i="2"/>
  <c r="F5" i="2"/>
  <c r="F10" i="2" s="1"/>
  <c r="F26" i="2" s="1"/>
  <c r="C33" i="2"/>
  <c r="D33" i="2"/>
  <c r="E33" i="2"/>
  <c r="F33" i="2"/>
  <c r="G33" i="2"/>
  <c r="H33" i="2"/>
  <c r="B37" i="2"/>
  <c r="B35" i="2"/>
  <c r="B33" i="2" s="1"/>
  <c r="E1" i="2"/>
  <c r="F1" i="2" s="1"/>
  <c r="G1" i="2" s="1"/>
  <c r="H1" i="2" s="1"/>
  <c r="I1" i="2" s="1"/>
  <c r="J1" i="2" s="1"/>
  <c r="K1" i="2" s="1"/>
  <c r="L1" i="2" s="1"/>
  <c r="M1" i="2" s="1"/>
  <c r="D7" i="1"/>
  <c r="D6" i="1"/>
  <c r="D5" i="1"/>
  <c r="D4" i="1"/>
  <c r="I23" i="2" l="1"/>
  <c r="I12" i="2" s="1"/>
  <c r="F15" i="2"/>
  <c r="F17" i="2" s="1"/>
  <c r="I9" i="2"/>
  <c r="I10" i="2" s="1"/>
  <c r="J23" i="2"/>
  <c r="J12" i="2" s="1"/>
  <c r="I13" i="2"/>
  <c r="J13" i="2" s="1"/>
  <c r="I11" i="2"/>
  <c r="J11" i="2" s="1"/>
  <c r="J9" i="2"/>
  <c r="J10" i="2" s="1"/>
  <c r="F24" i="2"/>
  <c r="F19" i="2"/>
  <c r="F21" i="2" s="1"/>
  <c r="H10" i="2"/>
  <c r="H26" i="2" s="1"/>
  <c r="G10" i="2"/>
  <c r="G26" i="2"/>
  <c r="G15" i="2"/>
  <c r="G17" i="2" s="1"/>
  <c r="G19" i="2" s="1"/>
  <c r="G21" i="2" s="1"/>
  <c r="G24" i="2"/>
  <c r="J30" i="2" l="1"/>
  <c r="I14" i="2"/>
  <c r="I15" i="2" s="1"/>
  <c r="I17" i="2" s="1"/>
  <c r="I18" i="2" s="1"/>
  <c r="I19" i="2" s="1"/>
  <c r="J14" i="2"/>
  <c r="J15" i="2" s="1"/>
  <c r="H15" i="2"/>
  <c r="H17" i="2" s="1"/>
  <c r="H24" i="2"/>
  <c r="H19" i="2"/>
  <c r="H21" i="2" s="1"/>
  <c r="I21" i="2" l="1"/>
  <c r="I33" i="2"/>
  <c r="K30" i="2"/>
  <c r="K9" i="2"/>
  <c r="K10" i="2" s="1"/>
  <c r="K23" i="2"/>
  <c r="J16" i="2" l="1"/>
  <c r="J17" i="2" s="1"/>
  <c r="J18" i="2" s="1"/>
  <c r="J19" i="2" s="1"/>
  <c r="J21" i="2" s="1"/>
  <c r="K12" i="2"/>
  <c r="K13" i="2"/>
  <c r="K11" i="2"/>
  <c r="L30" i="2"/>
  <c r="L23" i="2"/>
  <c r="L9" i="2"/>
  <c r="L10" i="2"/>
  <c r="L11" i="2" l="1"/>
  <c r="J33" i="2"/>
  <c r="K16" i="2" s="1"/>
  <c r="L13" i="2"/>
  <c r="M30" i="2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M23" i="2"/>
  <c r="M11" i="2" s="1"/>
  <c r="M9" i="2"/>
  <c r="M10" i="2" s="1"/>
  <c r="K14" i="2"/>
  <c r="K15" i="2" s="1"/>
  <c r="K17" i="2" s="1"/>
  <c r="K18" i="2" s="1"/>
  <c r="K19" i="2" s="1"/>
  <c r="L12" i="2"/>
  <c r="M12" i="2" s="1"/>
  <c r="K21" i="2" l="1"/>
  <c r="K33" i="2"/>
  <c r="P23" i="2"/>
  <c r="P24" i="2" s="1"/>
  <c r="P25" i="2" s="1"/>
  <c r="M13" i="2"/>
  <c r="M14" i="2" s="1"/>
  <c r="M15" i="2" s="1"/>
  <c r="L14" i="2"/>
  <c r="L15" i="2" s="1"/>
  <c r="L16" i="2" l="1"/>
  <c r="L17" i="2" s="1"/>
  <c r="L18" i="2" s="1"/>
  <c r="L19" i="2" s="1"/>
  <c r="L21" i="2" l="1"/>
  <c r="L33" i="2"/>
  <c r="M16" i="2" l="1"/>
  <c r="M17" i="2" s="1"/>
  <c r="M18" i="2" s="1"/>
  <c r="M19" i="2" s="1"/>
  <c r="M21" i="2" l="1"/>
  <c r="N19" i="2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M33" i="2"/>
</calcChain>
</file>

<file path=xl/sharedStrings.xml><?xml version="1.0" encoding="utf-8"?>
<sst xmlns="http://schemas.openxmlformats.org/spreadsheetml/2006/main" count="44" uniqueCount="40">
  <si>
    <t>ADBE</t>
  </si>
  <si>
    <t>Price</t>
  </si>
  <si>
    <t>Shares</t>
  </si>
  <si>
    <t>MC</t>
  </si>
  <si>
    <t>Cash</t>
  </si>
  <si>
    <t>Debt</t>
  </si>
  <si>
    <t>EV</t>
  </si>
  <si>
    <t>Subscription</t>
  </si>
  <si>
    <t>Product</t>
  </si>
  <si>
    <t>Services</t>
  </si>
  <si>
    <t>Revenue</t>
  </si>
  <si>
    <t>Subscription COGS</t>
  </si>
  <si>
    <t>Product COGS</t>
  </si>
  <si>
    <t>Services COGS</t>
  </si>
  <si>
    <t>COGS</t>
  </si>
  <si>
    <t>Gross Profit</t>
  </si>
  <si>
    <t>R&amp;D</t>
  </si>
  <si>
    <t>S&amp;M</t>
  </si>
  <si>
    <t>G&amp;A</t>
  </si>
  <si>
    <t>OPEX</t>
  </si>
  <si>
    <t>Operating Income</t>
  </si>
  <si>
    <t>Interest</t>
  </si>
  <si>
    <t>Pretax Income</t>
  </si>
  <si>
    <t>Tax</t>
  </si>
  <si>
    <t>Net Income</t>
  </si>
  <si>
    <t>EPS</t>
  </si>
  <si>
    <t>Revenue Growth</t>
  </si>
  <si>
    <t>Tax Rate</t>
  </si>
  <si>
    <t>Gross Margin</t>
  </si>
  <si>
    <t>CFFO</t>
  </si>
  <si>
    <t>CX</t>
  </si>
  <si>
    <t>FCF</t>
  </si>
  <si>
    <t>Net Cash</t>
  </si>
  <si>
    <t>Q125</t>
  </si>
  <si>
    <t>ROIC</t>
  </si>
  <si>
    <t>Maturity</t>
  </si>
  <si>
    <t>Discount</t>
  </si>
  <si>
    <t>NPV</t>
  </si>
  <si>
    <t>Diff</t>
  </si>
  <si>
    <t>FCF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</si>
</sst>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4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28575</xdr:rowOff>
    </xdr:from>
    <xdr:to>
      <xdr:col>8</xdr:col>
      <xdr:colOff>28575</xdr:colOff>
      <xdr:row>36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7E734B-78F6-25CF-AF3A-9164F515D047}"/>
            </a:ext>
          </a:extLst>
        </xdr:cNvPr>
        <xdr:cNvCxnSpPr/>
      </xdr:nvCxnSpPr>
      <xdr:spPr>
        <a:xfrm>
          <a:off x="4886325" y="28575"/>
          <a:ext cx="19050" cy="6638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A162-EAE9-4CC5-AE4B-8B686CFC5399}">
  <dimension ref="A1:D8"/>
  <sheetViews>
    <sheetView zoomScale="250" zoomScaleNormal="250" workbookViewId="0">
      <selection activeCell="D10" sqref="D10"/>
    </sheetView>
  </sheetViews>
  <sheetFormatPr defaultRowHeight="15" x14ac:dyDescent="0.25"/>
  <sheetData>
    <row r="1" spans="1:4" x14ac:dyDescent="0.25">
      <c r="A1" s="1" t="s">
        <v>0</v>
      </c>
    </row>
    <row r="2" spans="1:4" x14ac:dyDescent="0.25">
      <c r="C2" t="s">
        <v>1</v>
      </c>
      <c r="D2" s="2">
        <v>349</v>
      </c>
    </row>
    <row r="3" spans="1:4" x14ac:dyDescent="0.25">
      <c r="C3" t="s">
        <v>2</v>
      </c>
      <c r="D3" s="2">
        <v>426.2</v>
      </c>
    </row>
    <row r="4" spans="1:4" x14ac:dyDescent="0.25">
      <c r="C4" t="s">
        <v>3</v>
      </c>
      <c r="D4" s="2">
        <f>D3*D2</f>
        <v>148743.79999999999</v>
      </c>
    </row>
    <row r="5" spans="1:4" x14ac:dyDescent="0.25">
      <c r="C5" t="s">
        <v>4</v>
      </c>
      <c r="D5" s="2">
        <f>6758+677</f>
        <v>7435</v>
      </c>
    </row>
    <row r="6" spans="1:4" x14ac:dyDescent="0.25">
      <c r="C6" t="s">
        <v>5</v>
      </c>
      <c r="D6" s="2">
        <f>6155+143+567+334+498</f>
        <v>7697</v>
      </c>
    </row>
    <row r="7" spans="1:4" x14ac:dyDescent="0.25">
      <c r="C7" t="s">
        <v>6</v>
      </c>
      <c r="D7" s="2">
        <f>D4+D6-D5</f>
        <v>149005.79999999999</v>
      </c>
    </row>
    <row r="8" spans="1:4" x14ac:dyDescent="0.25">
      <c r="D8">
        <f>D2/(1.1*4*Sheet2!B21)</f>
        <v>19.158981115502854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5702-5366-4A93-A101-38C235480BE9}">
  <dimension ref="A1:CW37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J24" sqref="J24"/>
    </sheetView>
  </sheetViews>
  <sheetFormatPr defaultRowHeight="15" x14ac:dyDescent="0.25"/>
  <cols>
    <col min="1" max="1" width="17.85546875" style="2" customWidth="1"/>
    <col min="2" max="16384" width="9.140625" style="2"/>
  </cols>
  <sheetData>
    <row r="1" spans="1:13" x14ac:dyDescent="0.25">
      <c r="B1" s="2" t="s">
        <v>33</v>
      </c>
      <c r="D1" s="4">
        <v>2020</v>
      </c>
      <c r="E1" s="4">
        <f>D1+1</f>
        <v>2021</v>
      </c>
      <c r="F1" s="4">
        <f t="shared" ref="F1:M1" si="0">E1+1</f>
        <v>2022</v>
      </c>
      <c r="G1" s="4">
        <f t="shared" si="0"/>
        <v>2023</v>
      </c>
      <c r="H1" s="4">
        <f t="shared" si="0"/>
        <v>2024</v>
      </c>
      <c r="I1" s="4">
        <f t="shared" si="0"/>
        <v>2025</v>
      </c>
      <c r="J1" s="4">
        <f t="shared" si="0"/>
        <v>2026</v>
      </c>
      <c r="K1" s="4">
        <f t="shared" si="0"/>
        <v>2027</v>
      </c>
      <c r="L1" s="4">
        <f t="shared" si="0"/>
        <v>2028</v>
      </c>
      <c r="M1" s="4">
        <f t="shared" si="0"/>
        <v>2029</v>
      </c>
    </row>
    <row r="2" spans="1:13" x14ac:dyDescent="0.25">
      <c r="A2" s="2" t="s">
        <v>7</v>
      </c>
      <c r="F2" s="2">
        <v>16388</v>
      </c>
      <c r="G2" s="2">
        <v>18284</v>
      </c>
      <c r="H2" s="2">
        <v>20521</v>
      </c>
    </row>
    <row r="3" spans="1:13" x14ac:dyDescent="0.25">
      <c r="A3" s="2" t="s">
        <v>8</v>
      </c>
      <c r="F3" s="2">
        <v>532</v>
      </c>
      <c r="G3" s="2">
        <v>460</v>
      </c>
      <c r="H3" s="2">
        <v>386</v>
      </c>
    </row>
    <row r="4" spans="1:13" x14ac:dyDescent="0.25">
      <c r="A4" s="2" t="s">
        <v>9</v>
      </c>
      <c r="F4" s="2">
        <v>686</v>
      </c>
      <c r="G4" s="2">
        <v>665</v>
      </c>
      <c r="H4" s="2">
        <v>598</v>
      </c>
    </row>
    <row r="5" spans="1:13" s="3" customFormat="1" x14ac:dyDescent="0.25">
      <c r="A5" s="3" t="s">
        <v>10</v>
      </c>
      <c r="F5" s="3">
        <f>SUM(F2:F4)</f>
        <v>17606</v>
      </c>
      <c r="G5" s="3">
        <f t="shared" ref="G5:H5" si="1">SUM(G2:G4)</f>
        <v>19409</v>
      </c>
      <c r="H5" s="3">
        <f t="shared" si="1"/>
        <v>21505</v>
      </c>
      <c r="I5" s="3">
        <v>23400</v>
      </c>
      <c r="J5" s="3">
        <f>I5*1.09</f>
        <v>25506.000000000004</v>
      </c>
      <c r="K5" s="3">
        <f t="shared" ref="K5:M5" si="2">J5*1.09</f>
        <v>27801.540000000005</v>
      </c>
      <c r="L5" s="3">
        <f t="shared" si="2"/>
        <v>30303.678600000007</v>
      </c>
      <c r="M5" s="3">
        <f t="shared" si="2"/>
        <v>33031.009674000008</v>
      </c>
    </row>
    <row r="6" spans="1:13" x14ac:dyDescent="0.25">
      <c r="A6" s="2" t="s">
        <v>11</v>
      </c>
      <c r="F6" s="2">
        <v>1646</v>
      </c>
      <c r="G6" s="2">
        <v>1822</v>
      </c>
      <c r="H6" s="2">
        <v>1799</v>
      </c>
    </row>
    <row r="7" spans="1:13" x14ac:dyDescent="0.25">
      <c r="A7" s="2" t="s">
        <v>12</v>
      </c>
      <c r="F7" s="2">
        <v>35</v>
      </c>
      <c r="G7" s="2">
        <v>29</v>
      </c>
      <c r="H7" s="2">
        <v>25</v>
      </c>
    </row>
    <row r="8" spans="1:13" x14ac:dyDescent="0.25">
      <c r="A8" s="2" t="s">
        <v>13</v>
      </c>
      <c r="F8" s="2">
        <v>484</v>
      </c>
      <c r="G8" s="2">
        <v>503</v>
      </c>
      <c r="H8" s="2">
        <v>534</v>
      </c>
    </row>
    <row r="9" spans="1:13" x14ac:dyDescent="0.25">
      <c r="A9" s="2" t="s">
        <v>14</v>
      </c>
      <c r="F9" s="2">
        <f>SUM(F6:F8)</f>
        <v>2165</v>
      </c>
      <c r="G9" s="2">
        <f t="shared" ref="G9:H9" si="3">SUM(G6:G8)</f>
        <v>2354</v>
      </c>
      <c r="H9" s="2">
        <f t="shared" si="3"/>
        <v>2358</v>
      </c>
      <c r="I9" s="2">
        <f>I5*(1-I26)</f>
        <v>2573.9999999999995</v>
      </c>
      <c r="J9" s="2">
        <f t="shared" ref="J9:M9" si="4">J5*(1-J26)</f>
        <v>2805.66</v>
      </c>
      <c r="K9" s="2">
        <f t="shared" si="4"/>
        <v>2780.154</v>
      </c>
      <c r="L9" s="2">
        <f t="shared" si="4"/>
        <v>3030.3678599999998</v>
      </c>
      <c r="M9" s="2">
        <f t="shared" si="4"/>
        <v>3303.1009674000002</v>
      </c>
    </row>
    <row r="10" spans="1:13" x14ac:dyDescent="0.25">
      <c r="A10" s="2" t="s">
        <v>15</v>
      </c>
      <c r="F10" s="2">
        <f>F5-F9</f>
        <v>15441</v>
      </c>
      <c r="G10" s="2">
        <f t="shared" ref="G10:H10" si="5">G5-G9</f>
        <v>17055</v>
      </c>
      <c r="H10" s="2">
        <f t="shared" si="5"/>
        <v>19147</v>
      </c>
      <c r="I10" s="2">
        <f t="shared" ref="I10" si="6">I5-I9</f>
        <v>20826</v>
      </c>
      <c r="J10" s="2">
        <f t="shared" ref="J10" si="7">J5-J9</f>
        <v>22700.340000000004</v>
      </c>
      <c r="K10" s="2">
        <f t="shared" ref="K10" si="8">K5-K9</f>
        <v>25021.386000000006</v>
      </c>
      <c r="L10" s="2">
        <f t="shared" ref="L10" si="9">L5-L9</f>
        <v>27273.310740000008</v>
      </c>
      <c r="M10" s="2">
        <f t="shared" ref="M10" si="10">M5-M9</f>
        <v>29727.908706600007</v>
      </c>
    </row>
    <row r="11" spans="1:13" x14ac:dyDescent="0.25">
      <c r="A11" s="2" t="s">
        <v>16</v>
      </c>
      <c r="F11" s="2">
        <v>2987</v>
      </c>
      <c r="G11" s="2">
        <v>3473</v>
      </c>
      <c r="H11" s="2">
        <v>3944</v>
      </c>
      <c r="I11" s="2">
        <f>H11*(1+I23)</f>
        <v>4291.541501976285</v>
      </c>
      <c r="J11" s="2">
        <f t="shared" ref="J11:M11" si="11">I11*(1+J23)</f>
        <v>4677.7802371541511</v>
      </c>
      <c r="K11" s="2">
        <f t="shared" si="11"/>
        <v>5098.7804584980249</v>
      </c>
      <c r="L11" s="2">
        <f t="shared" si="11"/>
        <v>5557.670699762848</v>
      </c>
      <c r="M11" s="2">
        <f t="shared" si="11"/>
        <v>6057.8610627415046</v>
      </c>
    </row>
    <row r="12" spans="1:13" x14ac:dyDescent="0.25">
      <c r="A12" s="2" t="s">
        <v>17</v>
      </c>
      <c r="F12" s="2">
        <v>4968</v>
      </c>
      <c r="G12" s="2">
        <v>5351</v>
      </c>
      <c r="H12" s="2">
        <v>5764</v>
      </c>
      <c r="I12" s="2">
        <f>H12*(1+I23)</f>
        <v>6271.9181585677752</v>
      </c>
      <c r="J12" s="2">
        <f t="shared" ref="J12:M12" si="12">I12*(1+J23)</f>
        <v>6836.3907928388753</v>
      </c>
      <c r="K12" s="2">
        <f t="shared" si="12"/>
        <v>7451.6659641943743</v>
      </c>
      <c r="L12" s="2">
        <f t="shared" si="12"/>
        <v>8122.3159009718684</v>
      </c>
      <c r="M12" s="2">
        <f t="shared" si="12"/>
        <v>8853.3243320593374</v>
      </c>
    </row>
    <row r="13" spans="1:13" x14ac:dyDescent="0.25">
      <c r="A13" s="2" t="s">
        <v>18</v>
      </c>
      <c r="F13" s="2">
        <v>1219</v>
      </c>
      <c r="G13" s="2">
        <v>1413</v>
      </c>
      <c r="H13" s="2">
        <v>1529</v>
      </c>
      <c r="I13" s="2">
        <f>H13*(1+I23)</f>
        <v>1663.7340153452685</v>
      </c>
      <c r="J13" s="2">
        <f t="shared" ref="J13:M13" si="13">I13*(1+J23)</f>
        <v>1813.4700767263428</v>
      </c>
      <c r="K13" s="2">
        <f t="shared" si="13"/>
        <v>1976.6823836317137</v>
      </c>
      <c r="L13" s="2">
        <f t="shared" si="13"/>
        <v>2154.5837981585682</v>
      </c>
      <c r="M13" s="2">
        <f t="shared" si="13"/>
        <v>2348.4963399928397</v>
      </c>
    </row>
    <row r="14" spans="1:13" x14ac:dyDescent="0.25">
      <c r="A14" s="2" t="s">
        <v>19</v>
      </c>
      <c r="F14" s="2">
        <f>SUM(F11:F13)</f>
        <v>9174</v>
      </c>
      <c r="G14" s="2">
        <f t="shared" ref="G14:M14" si="14">SUM(G11:G13)</f>
        <v>10237</v>
      </c>
      <c r="H14" s="2">
        <f t="shared" si="14"/>
        <v>11237</v>
      </c>
      <c r="I14" s="2">
        <f t="shared" si="14"/>
        <v>12227.193675889328</v>
      </c>
      <c r="J14" s="2">
        <f t="shared" si="14"/>
        <v>13327.641106719369</v>
      </c>
      <c r="K14" s="2">
        <f t="shared" si="14"/>
        <v>14527.128806324114</v>
      </c>
      <c r="L14" s="2">
        <f t="shared" si="14"/>
        <v>15834.570398893284</v>
      </c>
      <c r="M14" s="2">
        <f t="shared" si="14"/>
        <v>17259.681734793681</v>
      </c>
    </row>
    <row r="15" spans="1:13" x14ac:dyDescent="0.25">
      <c r="A15" s="2" t="s">
        <v>20</v>
      </c>
      <c r="F15" s="2">
        <f>F10-F14</f>
        <v>6267</v>
      </c>
      <c r="G15" s="2">
        <f t="shared" ref="G15:M15" si="15">G10-G14</f>
        <v>6818</v>
      </c>
      <c r="H15" s="2">
        <f t="shared" si="15"/>
        <v>7910</v>
      </c>
      <c r="I15" s="2">
        <f t="shared" si="15"/>
        <v>8598.806324110672</v>
      </c>
      <c r="J15" s="2">
        <f t="shared" si="15"/>
        <v>9372.6988932806344</v>
      </c>
      <c r="K15" s="2">
        <f t="shared" si="15"/>
        <v>10494.257193675892</v>
      </c>
      <c r="L15" s="2">
        <f t="shared" si="15"/>
        <v>11438.740341106724</v>
      </c>
      <c r="M15" s="2">
        <f t="shared" si="15"/>
        <v>12468.226971806325</v>
      </c>
    </row>
    <row r="16" spans="1:13" x14ac:dyDescent="0.25">
      <c r="A16" s="2" t="s">
        <v>21</v>
      </c>
      <c r="F16" s="2">
        <f>-112-19</f>
        <v>-131</v>
      </c>
      <c r="G16" s="2">
        <f>-113+16</f>
        <v>-97</v>
      </c>
      <c r="H16" s="2">
        <f>-169+48</f>
        <v>-121</v>
      </c>
      <c r="I16" s="2">
        <f>H33*$P$20</f>
        <v>-15.719999999999999</v>
      </c>
      <c r="J16" s="2">
        <f t="shared" ref="J16:M16" si="16">I33*$P$20</f>
        <v>403.99292124901189</v>
      </c>
      <c r="K16" s="2">
        <f t="shared" si="16"/>
        <v>882.07315097951152</v>
      </c>
      <c r="L16" s="2">
        <f t="shared" si="16"/>
        <v>1438.3757048331606</v>
      </c>
      <c r="M16" s="2">
        <f t="shared" si="16"/>
        <v>2068.0666794796211</v>
      </c>
    </row>
    <row r="17" spans="1:101" x14ac:dyDescent="0.25">
      <c r="A17" s="2" t="s">
        <v>22</v>
      </c>
      <c r="F17" s="2">
        <f>F15+F16</f>
        <v>6136</v>
      </c>
      <c r="G17" s="2">
        <f t="shared" ref="G17:M17" si="17">G15+G16</f>
        <v>6721</v>
      </c>
      <c r="H17" s="2">
        <f t="shared" si="17"/>
        <v>7789</v>
      </c>
      <c r="I17" s="2">
        <f t="shared" si="17"/>
        <v>8583.0863241106726</v>
      </c>
      <c r="J17" s="2">
        <f t="shared" si="17"/>
        <v>9776.6918145296459</v>
      </c>
      <c r="K17" s="2">
        <f t="shared" si="17"/>
        <v>11376.330344655404</v>
      </c>
      <c r="L17" s="2">
        <f t="shared" si="17"/>
        <v>12877.116045939885</v>
      </c>
      <c r="M17" s="2">
        <f t="shared" si="17"/>
        <v>14536.293651285947</v>
      </c>
    </row>
    <row r="18" spans="1:101" x14ac:dyDescent="0.25">
      <c r="A18" s="2" t="s">
        <v>23</v>
      </c>
      <c r="F18" s="2">
        <v>1252</v>
      </c>
      <c r="G18" s="2">
        <v>1371</v>
      </c>
      <c r="H18" s="2">
        <v>1371</v>
      </c>
      <c r="I18" s="2">
        <f>I17*I24</f>
        <v>1587.8709699604744</v>
      </c>
      <c r="J18" s="2">
        <f t="shared" ref="J18:M18" si="18">J17*J24</f>
        <v>1808.6879856879846</v>
      </c>
      <c r="K18" s="2">
        <f t="shared" si="18"/>
        <v>2104.6211137612495</v>
      </c>
      <c r="L18" s="2">
        <f t="shared" si="18"/>
        <v>2382.2664684988786</v>
      </c>
      <c r="M18" s="2">
        <f t="shared" si="18"/>
        <v>2689.2143254879002</v>
      </c>
    </row>
    <row r="19" spans="1:101" s="3" customFormat="1" x14ac:dyDescent="0.25">
      <c r="A19" s="3" t="s">
        <v>24</v>
      </c>
      <c r="F19" s="3">
        <f>F17-F18</f>
        <v>4884</v>
      </c>
      <c r="G19" s="3">
        <f t="shared" ref="G19:H19" si="19">G17-G18</f>
        <v>5350</v>
      </c>
      <c r="H19" s="3">
        <f t="shared" si="19"/>
        <v>6418</v>
      </c>
      <c r="I19" s="3">
        <f t="shared" ref="I19" si="20">I17-I18</f>
        <v>6995.2153541501984</v>
      </c>
      <c r="J19" s="3">
        <f t="shared" ref="J19" si="21">J17-J18</f>
        <v>7968.0038288416617</v>
      </c>
      <c r="K19" s="3">
        <f t="shared" ref="K19" si="22">K17-K18</f>
        <v>9271.7092308941537</v>
      </c>
      <c r="L19" s="3">
        <f t="shared" ref="L19" si="23">L17-L18</f>
        <v>10494.849577441008</v>
      </c>
      <c r="M19" s="3">
        <f t="shared" ref="M19" si="24">M17-M18</f>
        <v>11847.079325798048</v>
      </c>
      <c r="N19" s="3">
        <f>M19*(1+$P$21)</f>
        <v>11965.550119056028</v>
      </c>
      <c r="O19" s="3">
        <f t="shared" ref="O19:BZ19" si="25">N19*(1+$P$21)</f>
        <v>12085.205620246588</v>
      </c>
      <c r="P19" s="3">
        <f t="shared" si="25"/>
        <v>12206.057676449054</v>
      </c>
      <c r="Q19" s="3">
        <f t="shared" si="25"/>
        <v>12328.118253213544</v>
      </c>
      <c r="R19" s="3">
        <f t="shared" si="25"/>
        <v>12451.39943574568</v>
      </c>
      <c r="S19" s="3">
        <f t="shared" si="25"/>
        <v>12575.913430103137</v>
      </c>
      <c r="T19" s="3">
        <f t="shared" si="25"/>
        <v>12701.672564404169</v>
      </c>
      <c r="U19" s="3">
        <f t="shared" si="25"/>
        <v>12828.689290048211</v>
      </c>
      <c r="V19" s="3">
        <f t="shared" si="25"/>
        <v>12956.976182948692</v>
      </c>
      <c r="W19" s="3">
        <f t="shared" si="25"/>
        <v>13086.54594477818</v>
      </c>
      <c r="X19" s="3">
        <f t="shared" si="25"/>
        <v>13217.411404225961</v>
      </c>
      <c r="Y19" s="3">
        <f t="shared" si="25"/>
        <v>13349.585518268221</v>
      </c>
      <c r="Z19" s="3">
        <f t="shared" si="25"/>
        <v>13483.081373450903</v>
      </c>
      <c r="AA19" s="3">
        <f t="shared" si="25"/>
        <v>13617.912187185411</v>
      </c>
      <c r="AB19" s="3">
        <f t="shared" si="25"/>
        <v>13754.091309057265</v>
      </c>
      <c r="AC19" s="3">
        <f t="shared" si="25"/>
        <v>13891.632222147839</v>
      </c>
      <c r="AD19" s="3">
        <f t="shared" si="25"/>
        <v>14030.548544369318</v>
      </c>
      <c r="AE19" s="3">
        <f t="shared" si="25"/>
        <v>14170.854029813012</v>
      </c>
      <c r="AF19" s="3">
        <f t="shared" si="25"/>
        <v>14312.562570111142</v>
      </c>
      <c r="AG19" s="3">
        <f t="shared" si="25"/>
        <v>14455.688195812254</v>
      </c>
      <c r="AH19" s="3">
        <f t="shared" si="25"/>
        <v>14600.245077770376</v>
      </c>
      <c r="AI19" s="3">
        <f t="shared" si="25"/>
        <v>14746.24752854808</v>
      </c>
      <c r="AJ19" s="3">
        <f t="shared" si="25"/>
        <v>14893.710003833561</v>
      </c>
      <c r="AK19" s="3">
        <f t="shared" si="25"/>
        <v>15042.647103871897</v>
      </c>
      <c r="AL19" s="3">
        <f t="shared" si="25"/>
        <v>15193.073574910617</v>
      </c>
      <c r="AM19" s="3">
        <f t="shared" si="25"/>
        <v>15345.004310659724</v>
      </c>
      <c r="AN19" s="3">
        <f t="shared" si="25"/>
        <v>15498.454353766321</v>
      </c>
      <c r="AO19" s="3">
        <f t="shared" si="25"/>
        <v>15653.438897303984</v>
      </c>
      <c r="AP19" s="3">
        <f t="shared" si="25"/>
        <v>15809.973286277023</v>
      </c>
      <c r="AQ19" s="3">
        <f t="shared" si="25"/>
        <v>15968.073019139794</v>
      </c>
      <c r="AR19" s="3">
        <f t="shared" si="25"/>
        <v>16127.753749331192</v>
      </c>
      <c r="AS19" s="3">
        <f t="shared" si="25"/>
        <v>16289.031286824504</v>
      </c>
      <c r="AT19" s="3">
        <f t="shared" si="25"/>
        <v>16451.921599692749</v>
      </c>
      <c r="AU19" s="3">
        <f t="shared" si="25"/>
        <v>16616.440815689675</v>
      </c>
      <c r="AV19" s="3">
        <f t="shared" si="25"/>
        <v>16782.605223846571</v>
      </c>
      <c r="AW19" s="3">
        <f t="shared" si="25"/>
        <v>16950.431276085037</v>
      </c>
      <c r="AX19" s="3">
        <f t="shared" si="25"/>
        <v>17119.935588845889</v>
      </c>
      <c r="AY19" s="3">
        <f t="shared" si="25"/>
        <v>17291.134944734349</v>
      </c>
      <c r="AZ19" s="3">
        <f t="shared" si="25"/>
        <v>17464.046294181691</v>
      </c>
      <c r="BA19" s="3">
        <f t="shared" si="25"/>
        <v>17638.686757123509</v>
      </c>
      <c r="BB19" s="3">
        <f t="shared" si="25"/>
        <v>17815.073624694745</v>
      </c>
      <c r="BC19" s="3">
        <f t="shared" si="25"/>
        <v>17993.224360941695</v>
      </c>
      <c r="BD19" s="3">
        <f t="shared" si="25"/>
        <v>18173.15660455111</v>
      </c>
      <c r="BE19" s="3">
        <f t="shared" si="25"/>
        <v>18354.88817059662</v>
      </c>
      <c r="BF19" s="3">
        <f t="shared" si="25"/>
        <v>18538.437052302586</v>
      </c>
      <c r="BG19" s="3">
        <f t="shared" si="25"/>
        <v>18723.821422825611</v>
      </c>
      <c r="BH19" s="3">
        <f t="shared" si="25"/>
        <v>18911.059637053866</v>
      </c>
      <c r="BI19" s="3">
        <f t="shared" si="25"/>
        <v>19100.170233424404</v>
      </c>
      <c r="BJ19" s="3">
        <f t="shared" si="25"/>
        <v>19291.171935758648</v>
      </c>
      <c r="BK19" s="3">
        <f t="shared" si="25"/>
        <v>19484.083655116236</v>
      </c>
      <c r="BL19" s="3">
        <f t="shared" si="25"/>
        <v>19678.9244916674</v>
      </c>
      <c r="BM19" s="3">
        <f t="shared" si="25"/>
        <v>19875.713736584075</v>
      </c>
      <c r="BN19" s="3">
        <f t="shared" si="25"/>
        <v>20074.470873949915</v>
      </c>
      <c r="BO19" s="3">
        <f t="shared" si="25"/>
        <v>20275.215582689412</v>
      </c>
      <c r="BP19" s="3">
        <f t="shared" si="25"/>
        <v>20477.967738516305</v>
      </c>
      <c r="BQ19" s="3">
        <f t="shared" si="25"/>
        <v>20682.747415901467</v>
      </c>
      <c r="BR19" s="3">
        <f t="shared" si="25"/>
        <v>20889.574890060481</v>
      </c>
      <c r="BS19" s="3">
        <f t="shared" si="25"/>
        <v>21098.470638961087</v>
      </c>
      <c r="BT19" s="3">
        <f t="shared" si="25"/>
        <v>21309.4553453507</v>
      </c>
      <c r="BU19" s="3">
        <f t="shared" si="25"/>
        <v>21522.549898804205</v>
      </c>
      <c r="BV19" s="3">
        <f t="shared" si="25"/>
        <v>21737.775397792248</v>
      </c>
      <c r="BW19" s="3">
        <f t="shared" si="25"/>
        <v>21955.15315177017</v>
      </c>
      <c r="BX19" s="3">
        <f t="shared" si="25"/>
        <v>22174.704683287873</v>
      </c>
      <c r="BY19" s="3">
        <f t="shared" si="25"/>
        <v>22396.451730120752</v>
      </c>
      <c r="BZ19" s="3">
        <f t="shared" si="25"/>
        <v>22620.416247421959</v>
      </c>
      <c r="CA19" s="3">
        <f t="shared" ref="CA19:CW19" si="26">BZ19*(1+$P$21)</f>
        <v>22846.620409896179</v>
      </c>
      <c r="CB19" s="3">
        <f t="shared" si="26"/>
        <v>23075.086613995139</v>
      </c>
      <c r="CC19" s="3">
        <f t="shared" si="26"/>
        <v>23305.837480135091</v>
      </c>
      <c r="CD19" s="3">
        <f t="shared" si="26"/>
        <v>23538.895854936443</v>
      </c>
      <c r="CE19" s="3">
        <f t="shared" si="26"/>
        <v>23774.284813485807</v>
      </c>
      <c r="CF19" s="3">
        <f t="shared" si="26"/>
        <v>24012.027661620665</v>
      </c>
      <c r="CG19" s="3">
        <f t="shared" si="26"/>
        <v>24252.147938236871</v>
      </c>
      <c r="CH19" s="3">
        <f t="shared" si="26"/>
        <v>24494.66941761924</v>
      </c>
      <c r="CI19" s="3">
        <f t="shared" si="26"/>
        <v>24739.616111795433</v>
      </c>
      <c r="CJ19" s="3">
        <f t="shared" si="26"/>
        <v>24987.012272913387</v>
      </c>
      <c r="CK19" s="3">
        <f t="shared" si="26"/>
        <v>25236.882395642522</v>
      </c>
      <c r="CL19" s="3">
        <f t="shared" si="26"/>
        <v>25489.251219598948</v>
      </c>
      <c r="CM19" s="3">
        <f t="shared" si="26"/>
        <v>25744.143731794939</v>
      </c>
      <c r="CN19" s="3">
        <f t="shared" si="26"/>
        <v>26001.585169112888</v>
      </c>
      <c r="CO19" s="3">
        <f t="shared" si="26"/>
        <v>26261.601020804017</v>
      </c>
      <c r="CP19" s="3">
        <f t="shared" si="26"/>
        <v>26524.217031012056</v>
      </c>
      <c r="CQ19" s="3">
        <f t="shared" si="26"/>
        <v>26789.459201322177</v>
      </c>
      <c r="CR19" s="3">
        <f t="shared" si="26"/>
        <v>27057.353793335398</v>
      </c>
      <c r="CS19" s="3">
        <f t="shared" si="26"/>
        <v>27327.927331268751</v>
      </c>
      <c r="CT19" s="3">
        <f t="shared" si="26"/>
        <v>27601.206604581439</v>
      </c>
      <c r="CU19" s="3">
        <f t="shared" si="26"/>
        <v>27877.218670627255</v>
      </c>
      <c r="CV19" s="3">
        <f t="shared" si="26"/>
        <v>28155.990857333527</v>
      </c>
      <c r="CW19" s="3">
        <f t="shared" si="26"/>
        <v>28437.550765906861</v>
      </c>
    </row>
    <row r="20" spans="1:101" x14ac:dyDescent="0.25">
      <c r="A20" s="2" t="s">
        <v>2</v>
      </c>
      <c r="F20" s="2">
        <v>471</v>
      </c>
      <c r="G20" s="2">
        <v>459</v>
      </c>
      <c r="H20" s="2">
        <v>450</v>
      </c>
      <c r="I20" s="2">
        <v>450</v>
      </c>
      <c r="J20" s="2">
        <v>450</v>
      </c>
      <c r="K20" s="2">
        <v>450</v>
      </c>
      <c r="L20" s="2">
        <v>450</v>
      </c>
      <c r="M20" s="2">
        <v>450</v>
      </c>
      <c r="O20" s="2" t="s">
        <v>34</v>
      </c>
      <c r="P20" s="7">
        <v>0.06</v>
      </c>
    </row>
    <row r="21" spans="1:101" x14ac:dyDescent="0.25">
      <c r="A21" s="2" t="s">
        <v>25</v>
      </c>
      <c r="B21" s="6">
        <v>4.1399999999999997</v>
      </c>
      <c r="F21" s="6">
        <f>F19/F20</f>
        <v>10.369426751592357</v>
      </c>
      <c r="G21" s="6">
        <f t="shared" ref="G21:M21" si="27">G19/G20</f>
        <v>11.655773420479303</v>
      </c>
      <c r="H21" s="6">
        <f t="shared" si="27"/>
        <v>14.262222222222222</v>
      </c>
      <c r="I21" s="6">
        <f t="shared" si="27"/>
        <v>15.544923009222662</v>
      </c>
      <c r="J21" s="6">
        <f t="shared" si="27"/>
        <v>17.706675175203692</v>
      </c>
      <c r="K21" s="6">
        <f t="shared" si="27"/>
        <v>20.603798290875897</v>
      </c>
      <c r="L21" s="6">
        <f t="shared" si="27"/>
        <v>23.321887949868906</v>
      </c>
      <c r="M21" s="6">
        <f t="shared" si="27"/>
        <v>26.326842946217884</v>
      </c>
      <c r="O21" s="2" t="s">
        <v>35</v>
      </c>
      <c r="P21" s="7">
        <v>0.01</v>
      </c>
    </row>
    <row r="22" spans="1:101" x14ac:dyDescent="0.25">
      <c r="O22" s="2" t="s">
        <v>36</v>
      </c>
      <c r="P22" s="8">
        <v>0.08</v>
      </c>
    </row>
    <row r="23" spans="1:101" s="3" customFormat="1" x14ac:dyDescent="0.25">
      <c r="A23" s="3" t="s">
        <v>26</v>
      </c>
      <c r="G23" s="5">
        <f>G5/F5-1</f>
        <v>0.10240826990798602</v>
      </c>
      <c r="H23" s="5">
        <f>H5/G5-1</f>
        <v>0.10799113813179462</v>
      </c>
      <c r="I23" s="5">
        <f t="shared" ref="I23:M23" si="28">I5/H5-1</f>
        <v>8.811904208323651E-2</v>
      </c>
      <c r="J23" s="5">
        <f t="shared" si="28"/>
        <v>9.000000000000008E-2</v>
      </c>
      <c r="K23" s="5">
        <f t="shared" si="28"/>
        <v>9.000000000000008E-2</v>
      </c>
      <c r="L23" s="5">
        <f t="shared" si="28"/>
        <v>9.000000000000008E-2</v>
      </c>
      <c r="M23" s="5">
        <f t="shared" si="28"/>
        <v>9.000000000000008E-2</v>
      </c>
      <c r="O23" s="2" t="s">
        <v>37</v>
      </c>
      <c r="P23" s="3">
        <f>NPV(P22,I30:XFD30)+Sheet1!D5-Sheet1!D6</f>
        <v>198790.13377365921</v>
      </c>
    </row>
    <row r="24" spans="1:101" x14ac:dyDescent="0.25">
      <c r="A24" s="2" t="s">
        <v>27</v>
      </c>
      <c r="F24" s="7">
        <f>F18/F17</f>
        <v>0.20404172099087353</v>
      </c>
      <c r="G24" s="7">
        <f t="shared" ref="G24:H24" si="29">G18/G17</f>
        <v>0.2039875018598423</v>
      </c>
      <c r="H24" s="7">
        <f t="shared" si="29"/>
        <v>0.17601746052124792</v>
      </c>
      <c r="I24" s="7">
        <v>0.185</v>
      </c>
      <c r="J24" s="7">
        <v>0.185</v>
      </c>
      <c r="K24" s="7">
        <v>0.185</v>
      </c>
      <c r="L24" s="7">
        <v>0.185</v>
      </c>
      <c r="M24" s="7">
        <v>0.185</v>
      </c>
      <c r="O24" s="2" t="s">
        <v>1</v>
      </c>
      <c r="P24" s="2">
        <f>P23/Sheet1!D3</f>
        <v>466.42452785935996</v>
      </c>
    </row>
    <row r="25" spans="1:101" x14ac:dyDescent="0.25">
      <c r="O25" s="2" t="s">
        <v>38</v>
      </c>
      <c r="P25" s="7">
        <f>P24/Sheet1!D2-1</f>
        <v>0.33645996521306576</v>
      </c>
    </row>
    <row r="26" spans="1:101" s="3" customFormat="1" x14ac:dyDescent="0.25">
      <c r="A26" s="3" t="s">
        <v>28</v>
      </c>
      <c r="F26" s="5">
        <f>F10/F5</f>
        <v>0.87703055776439853</v>
      </c>
      <c r="G26" s="5">
        <f t="shared" ref="G26:H26" si="30">G10/G5</f>
        <v>0.87871605955999799</v>
      </c>
      <c r="H26" s="5">
        <f t="shared" si="30"/>
        <v>0.89035108114392003</v>
      </c>
      <c r="I26" s="5">
        <v>0.89</v>
      </c>
      <c r="J26" s="5">
        <v>0.89</v>
      </c>
      <c r="K26" s="5">
        <v>0.9</v>
      </c>
      <c r="L26" s="5">
        <v>0.9</v>
      </c>
      <c r="M26" s="5">
        <v>0.9</v>
      </c>
    </row>
    <row r="27" spans="1:101" x14ac:dyDescent="0.25">
      <c r="F27" s="7"/>
      <c r="G27" s="7"/>
      <c r="H27" s="7"/>
      <c r="I27" s="7"/>
      <c r="J27" s="7"/>
      <c r="K27" s="7"/>
      <c r="L27" s="7"/>
      <c r="M27" s="7"/>
    </row>
    <row r="28" spans="1:101" x14ac:dyDescent="0.25">
      <c r="A28" s="2" t="s">
        <v>29</v>
      </c>
      <c r="F28" s="2">
        <v>7838</v>
      </c>
      <c r="G28" s="2">
        <v>7302</v>
      </c>
      <c r="H28" s="2">
        <v>8056</v>
      </c>
    </row>
    <row r="29" spans="1:101" x14ac:dyDescent="0.25">
      <c r="A29" s="2" t="s">
        <v>30</v>
      </c>
      <c r="F29" s="2">
        <v>442</v>
      </c>
      <c r="G29" s="2">
        <v>360</v>
      </c>
      <c r="H29" s="2">
        <v>183</v>
      </c>
    </row>
    <row r="30" spans="1:101" s="3" customFormat="1" x14ac:dyDescent="0.25">
      <c r="A30" s="3" t="s">
        <v>31</v>
      </c>
      <c r="F30" s="3">
        <f>F28-F29</f>
        <v>7396</v>
      </c>
      <c r="G30" s="3">
        <f t="shared" ref="G30:H30" si="31">G28-G29</f>
        <v>6942</v>
      </c>
      <c r="H30" s="3">
        <f t="shared" si="31"/>
        <v>7873</v>
      </c>
      <c r="I30" s="3">
        <f>I31*I5</f>
        <v>9360</v>
      </c>
      <c r="J30" s="3">
        <f t="shared" ref="J30:M30" si="32">J31*J5</f>
        <v>10610.496000000003</v>
      </c>
      <c r="K30" s="3">
        <f t="shared" si="32"/>
        <v>12028.058265600004</v>
      </c>
      <c r="L30" s="3">
        <f t="shared" si="32"/>
        <v>13635.006849884167</v>
      </c>
      <c r="M30" s="3">
        <f t="shared" si="32"/>
        <v>15456.643765028692</v>
      </c>
      <c r="N30" s="3">
        <f>M30*(1+$P$21)</f>
        <v>15611.210202678978</v>
      </c>
      <c r="O30" s="3">
        <f t="shared" ref="O30:BZ30" si="33">N30*(1+$P$21)</f>
        <v>15767.322304705767</v>
      </c>
      <c r="P30" s="3">
        <f t="shared" si="33"/>
        <v>15924.995527752824</v>
      </c>
      <c r="Q30" s="3">
        <f t="shared" si="33"/>
        <v>16084.245483030352</v>
      </c>
      <c r="R30" s="3">
        <f t="shared" si="33"/>
        <v>16245.087937860655</v>
      </c>
      <c r="S30" s="3">
        <f t="shared" si="33"/>
        <v>16407.538817239263</v>
      </c>
      <c r="T30" s="3">
        <f t="shared" si="33"/>
        <v>16571.614205411657</v>
      </c>
      <c r="U30" s="3">
        <f t="shared" si="33"/>
        <v>16737.330347465773</v>
      </c>
      <c r="V30" s="3">
        <f t="shared" si="33"/>
        <v>16904.703650940432</v>
      </c>
      <c r="W30" s="3">
        <f t="shared" si="33"/>
        <v>17073.750687449836</v>
      </c>
      <c r="X30" s="3">
        <f t="shared" si="33"/>
        <v>17244.488194324334</v>
      </c>
      <c r="Y30" s="3">
        <f t="shared" si="33"/>
        <v>17416.933076267578</v>
      </c>
      <c r="Z30" s="3">
        <f t="shared" si="33"/>
        <v>17591.102407030256</v>
      </c>
      <c r="AA30" s="3">
        <f t="shared" si="33"/>
        <v>17767.013431100557</v>
      </c>
      <c r="AB30" s="3">
        <f t="shared" si="33"/>
        <v>17944.683565411564</v>
      </c>
      <c r="AC30" s="3">
        <f t="shared" si="33"/>
        <v>18124.130401065679</v>
      </c>
      <c r="AD30" s="3">
        <f t="shared" si="33"/>
        <v>18305.371705076337</v>
      </c>
      <c r="AE30" s="3">
        <f t="shared" si="33"/>
        <v>18488.4254221271</v>
      </c>
      <c r="AF30" s="3">
        <f t="shared" si="33"/>
        <v>18673.30967634837</v>
      </c>
      <c r="AG30" s="3">
        <f t="shared" si="33"/>
        <v>18860.042773111854</v>
      </c>
      <c r="AH30" s="3">
        <f t="shared" si="33"/>
        <v>19048.643200842973</v>
      </c>
      <c r="AI30" s="3">
        <f t="shared" si="33"/>
        <v>19239.129632851404</v>
      </c>
      <c r="AJ30" s="3">
        <f t="shared" si="33"/>
        <v>19431.520929179918</v>
      </c>
      <c r="AK30" s="3">
        <f t="shared" si="33"/>
        <v>19625.836138471717</v>
      </c>
      <c r="AL30" s="3">
        <f t="shared" si="33"/>
        <v>19822.094499856434</v>
      </c>
      <c r="AM30" s="3">
        <f t="shared" si="33"/>
        <v>20020.315444854998</v>
      </c>
      <c r="AN30" s="3">
        <f t="shared" si="33"/>
        <v>20220.518599303548</v>
      </c>
      <c r="AO30" s="3">
        <f t="shared" si="33"/>
        <v>20422.723785296585</v>
      </c>
      <c r="AP30" s="3">
        <f t="shared" si="33"/>
        <v>20626.951023149551</v>
      </c>
      <c r="AQ30" s="3">
        <f t="shared" si="33"/>
        <v>20833.220533381049</v>
      </c>
      <c r="AR30" s="3">
        <f t="shared" si="33"/>
        <v>21041.552738714861</v>
      </c>
      <c r="AS30" s="3">
        <f t="shared" si="33"/>
        <v>21251.968266102009</v>
      </c>
      <c r="AT30" s="3">
        <f t="shared" si="33"/>
        <v>21464.487948763028</v>
      </c>
      <c r="AU30" s="3">
        <f t="shared" si="33"/>
        <v>21679.132828250658</v>
      </c>
      <c r="AV30" s="3">
        <f t="shared" si="33"/>
        <v>21895.924156533165</v>
      </c>
      <c r="AW30" s="3">
        <f t="shared" si="33"/>
        <v>22114.883398098496</v>
      </c>
      <c r="AX30" s="3">
        <f t="shared" si="33"/>
        <v>22336.03223207948</v>
      </c>
      <c r="AY30" s="3">
        <f t="shared" si="33"/>
        <v>22559.392554400274</v>
      </c>
      <c r="AZ30" s="3">
        <f t="shared" si="33"/>
        <v>22784.986479944277</v>
      </c>
      <c r="BA30" s="3">
        <f t="shared" si="33"/>
        <v>23012.836344743719</v>
      </c>
      <c r="BB30" s="3">
        <f t="shared" si="33"/>
        <v>23242.964708191157</v>
      </c>
      <c r="BC30" s="3">
        <f t="shared" si="33"/>
        <v>23475.394355273071</v>
      </c>
      <c r="BD30" s="3">
        <f t="shared" si="33"/>
        <v>23710.148298825803</v>
      </c>
      <c r="BE30" s="3">
        <f t="shared" si="33"/>
        <v>23947.249781814062</v>
      </c>
      <c r="BF30" s="3">
        <f t="shared" si="33"/>
        <v>24186.722279632202</v>
      </c>
      <c r="BG30" s="3">
        <f t="shared" si="33"/>
        <v>24428.589502428524</v>
      </c>
      <c r="BH30" s="3">
        <f t="shared" si="33"/>
        <v>24672.875397452808</v>
      </c>
      <c r="BI30" s="3">
        <f t="shared" si="33"/>
        <v>24919.604151427335</v>
      </c>
      <c r="BJ30" s="3">
        <f t="shared" si="33"/>
        <v>25168.80019294161</v>
      </c>
      <c r="BK30" s="3">
        <f t="shared" si="33"/>
        <v>25420.488194871024</v>
      </c>
      <c r="BL30" s="3">
        <f t="shared" si="33"/>
        <v>25674.693076819734</v>
      </c>
      <c r="BM30" s="3">
        <f t="shared" si="33"/>
        <v>25931.440007587931</v>
      </c>
      <c r="BN30" s="3">
        <f t="shared" si="33"/>
        <v>26190.754407663811</v>
      </c>
      <c r="BO30" s="3">
        <f t="shared" si="33"/>
        <v>26452.661951740451</v>
      </c>
      <c r="BP30" s="3">
        <f t="shared" si="33"/>
        <v>26717.188571257855</v>
      </c>
      <c r="BQ30" s="3">
        <f t="shared" si="33"/>
        <v>26984.360456970433</v>
      </c>
      <c r="BR30" s="3">
        <f t="shared" si="33"/>
        <v>27254.204061540138</v>
      </c>
      <c r="BS30" s="3">
        <f t="shared" si="33"/>
        <v>27526.746102155539</v>
      </c>
      <c r="BT30" s="3">
        <f t="shared" si="33"/>
        <v>27802.013563177094</v>
      </c>
      <c r="BU30" s="3">
        <f t="shared" si="33"/>
        <v>28080.033698808864</v>
      </c>
      <c r="BV30" s="3">
        <f t="shared" si="33"/>
        <v>28360.834035796954</v>
      </c>
      <c r="BW30" s="3">
        <f t="shared" si="33"/>
        <v>28644.442376154922</v>
      </c>
      <c r="BX30" s="3">
        <f t="shared" si="33"/>
        <v>28930.886799916472</v>
      </c>
      <c r="BY30" s="3">
        <f t="shared" si="33"/>
        <v>29220.195667915636</v>
      </c>
      <c r="BZ30" s="3">
        <f t="shared" si="33"/>
        <v>29512.397624594792</v>
      </c>
      <c r="CA30" s="3">
        <f t="shared" ref="CA30:CR30" si="34">BZ30*(1+$P$21)</f>
        <v>29807.521600840741</v>
      </c>
      <c r="CB30" s="3">
        <f t="shared" si="34"/>
        <v>30105.596816849149</v>
      </c>
      <c r="CC30" s="3">
        <f t="shared" si="34"/>
        <v>30406.652785017643</v>
      </c>
      <c r="CD30" s="3">
        <f t="shared" si="34"/>
        <v>30710.719312867819</v>
      </c>
      <c r="CE30" s="3">
        <f t="shared" si="34"/>
        <v>31017.826505996498</v>
      </c>
      <c r="CF30" s="3">
        <f t="shared" si="34"/>
        <v>31328.004771056461</v>
      </c>
      <c r="CG30" s="3">
        <f t="shared" si="34"/>
        <v>31641.284818767028</v>
      </c>
      <c r="CH30" s="3">
        <f t="shared" si="34"/>
        <v>31957.6976669547</v>
      </c>
      <c r="CI30" s="3">
        <f t="shared" si="34"/>
        <v>32277.274643624249</v>
      </c>
      <c r="CJ30" s="3">
        <f t="shared" si="34"/>
        <v>32600.047390060492</v>
      </c>
      <c r="CK30" s="3">
        <f t="shared" si="34"/>
        <v>32926.047863961096</v>
      </c>
      <c r="CL30" s="3">
        <f t="shared" si="34"/>
        <v>33255.308342600707</v>
      </c>
      <c r="CM30" s="3">
        <f t="shared" si="34"/>
        <v>33587.861426026713</v>
      </c>
      <c r="CN30" s="3">
        <f t="shared" si="34"/>
        <v>33923.740040286983</v>
      </c>
      <c r="CO30" s="3">
        <f t="shared" si="34"/>
        <v>34262.97744068985</v>
      </c>
      <c r="CP30" s="3">
        <f t="shared" si="34"/>
        <v>34605.607215096752</v>
      </c>
      <c r="CQ30" s="3">
        <f t="shared" si="34"/>
        <v>34951.66328724772</v>
      </c>
      <c r="CR30" s="3">
        <f t="shared" si="34"/>
        <v>35301.179920120201</v>
      </c>
    </row>
    <row r="31" spans="1:101" s="3" customFormat="1" x14ac:dyDescent="0.25">
      <c r="A31" s="2" t="s">
        <v>39</v>
      </c>
      <c r="F31" s="5">
        <f>F30/F5</f>
        <v>0.42008406225150519</v>
      </c>
      <c r="G31" s="5">
        <f t="shared" ref="G31:H31" si="35">G30/G5</f>
        <v>0.35766912257200267</v>
      </c>
      <c r="H31" s="5">
        <f t="shared" si="35"/>
        <v>0.36610090676586843</v>
      </c>
      <c r="I31" s="5">
        <v>0.4</v>
      </c>
      <c r="J31" s="5">
        <f>I31*1.04</f>
        <v>0.41600000000000004</v>
      </c>
      <c r="K31" s="5">
        <f t="shared" ref="K31:M31" si="36">J31*1.04</f>
        <v>0.43264000000000008</v>
      </c>
      <c r="L31" s="5">
        <f t="shared" si="36"/>
        <v>0.44994560000000011</v>
      </c>
      <c r="M31" s="5">
        <f t="shared" si="36"/>
        <v>0.46794342400000011</v>
      </c>
    </row>
    <row r="32" spans="1:101" x14ac:dyDescent="0.25">
      <c r="P32" s="3"/>
      <c r="Q32" s="3"/>
      <c r="R32" s="3"/>
    </row>
    <row r="33" spans="1:13" x14ac:dyDescent="0.25">
      <c r="A33" s="2" t="s">
        <v>32</v>
      </c>
      <c r="B33" s="2">
        <f>B35-B37</f>
        <v>-262</v>
      </c>
      <c r="C33" s="2">
        <f t="shared" ref="C33:H33" si="37">C35-C37</f>
        <v>0</v>
      </c>
      <c r="D33" s="2">
        <f t="shared" si="37"/>
        <v>0</v>
      </c>
      <c r="E33" s="2">
        <f t="shared" si="37"/>
        <v>0</v>
      </c>
      <c r="F33" s="2">
        <f t="shared" si="37"/>
        <v>0</v>
      </c>
      <c r="G33" s="2">
        <f t="shared" si="37"/>
        <v>0</v>
      </c>
      <c r="H33" s="2">
        <f t="shared" si="37"/>
        <v>-262</v>
      </c>
      <c r="I33" s="2">
        <f>H33+I19</f>
        <v>6733.2153541501984</v>
      </c>
      <c r="J33" s="2">
        <f t="shared" ref="J33:M33" si="38">I33+J19</f>
        <v>14701.219182991859</v>
      </c>
      <c r="K33" s="2">
        <f t="shared" si="38"/>
        <v>23972.928413886013</v>
      </c>
      <c r="L33" s="2">
        <f t="shared" si="38"/>
        <v>34467.777991327021</v>
      </c>
      <c r="M33" s="2">
        <f t="shared" si="38"/>
        <v>46314.857317125068</v>
      </c>
    </row>
    <row r="35" spans="1:13" x14ac:dyDescent="0.25">
      <c r="A35" s="2" t="s">
        <v>4</v>
      </c>
      <c r="B35" s="2">
        <f>6758+677</f>
        <v>7435</v>
      </c>
      <c r="H35" s="2">
        <f>6758+677</f>
        <v>7435</v>
      </c>
    </row>
    <row r="37" spans="1:13" x14ac:dyDescent="0.25">
      <c r="A37" s="2" t="s">
        <v>5</v>
      </c>
      <c r="B37" s="2">
        <f>6155+143+567+334+498</f>
        <v>7697</v>
      </c>
      <c r="H37" s="2">
        <f>6155+143+567+334+498</f>
        <v>7697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2025-04-18T01:52:05Z</dcterms:created>
  <dcterms:modified xsi:type="dcterms:W3CDTF">2025-04-18T02:28:56Z</dcterms:modified>
</cp:coreProperties>
</file>