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5F6AAADF-7B75-4922-A7D8-FF47F1B12653}" xr6:coauthVersionLast="47" xr6:coauthVersionMax="47" xr10:uidLastSave="{00000000-0000-0000-0000-000000000000}"/>
  <bookViews>
    <workbookView xWindow="5550" yWindow="1215" windowWidth="21870" windowHeight="13560" xr2:uid="{E5D6FD05-9FFE-4FF7-9EEE-4E507FD9D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P24" i="2"/>
  <c r="Q24" i="2"/>
  <c r="R24" i="2" s="1"/>
  <c r="S24" i="2" s="1"/>
  <c r="O24" i="2"/>
  <c r="P13" i="2"/>
  <c r="Q13" i="2"/>
  <c r="R13" i="2"/>
  <c r="S13" i="2"/>
  <c r="O13" i="2"/>
  <c r="O4" i="2"/>
  <c r="H27" i="2"/>
  <c r="I27" i="2"/>
  <c r="J27" i="2"/>
  <c r="H25" i="2"/>
  <c r="I25" i="2"/>
  <c r="H24" i="2"/>
  <c r="I24" i="2"/>
  <c r="H23" i="2"/>
  <c r="I23" i="2"/>
  <c r="J23" i="2"/>
  <c r="L15" i="2"/>
  <c r="M15" i="2"/>
  <c r="I15" i="2"/>
  <c r="J15" i="2"/>
  <c r="K15" i="2"/>
  <c r="H15" i="2"/>
  <c r="H11" i="2"/>
  <c r="I11" i="2"/>
  <c r="I17" i="2" s="1"/>
  <c r="H8" i="2"/>
  <c r="I8" i="2"/>
  <c r="H7" i="2"/>
  <c r="I7" i="2"/>
  <c r="H4" i="2"/>
  <c r="I4" i="2"/>
  <c r="O9" i="2"/>
  <c r="P9" i="2" s="1"/>
  <c r="O25" i="2"/>
  <c r="P25" i="2" s="1"/>
  <c r="Q25" i="2" s="1"/>
  <c r="O10" i="2"/>
  <c r="P10" i="2" s="1"/>
  <c r="Q10" i="2" s="1"/>
  <c r="O12" i="2"/>
  <c r="P12" i="2" s="1"/>
  <c r="Q12" i="2" s="1"/>
  <c r="R12" i="2" s="1"/>
  <c r="S12" i="2" s="1"/>
  <c r="M4" i="2"/>
  <c r="N4" i="2"/>
  <c r="N21" i="2" s="1"/>
  <c r="V28" i="2"/>
  <c r="J25" i="2"/>
  <c r="K25" i="2"/>
  <c r="L25" i="2"/>
  <c r="M25" i="2"/>
  <c r="N25" i="2"/>
  <c r="J24" i="2"/>
  <c r="K24" i="2"/>
  <c r="L24" i="2"/>
  <c r="M24" i="2"/>
  <c r="N24" i="2"/>
  <c r="O3" i="2"/>
  <c r="P3" i="2" s="1"/>
  <c r="Q3" i="2" s="1"/>
  <c r="R3" i="2" s="1"/>
  <c r="S3" i="2" s="1"/>
  <c r="P2" i="2"/>
  <c r="Q2" i="2" s="1"/>
  <c r="R2" i="2" s="1"/>
  <c r="S2" i="2" s="1"/>
  <c r="M11" i="2"/>
  <c r="L7" i="2"/>
  <c r="M7" i="2"/>
  <c r="M8" i="2" s="1"/>
  <c r="M23" i="2" s="1"/>
  <c r="N7" i="2"/>
  <c r="K7" i="2"/>
  <c r="J7" i="2"/>
  <c r="C7" i="2"/>
  <c r="D7" i="2"/>
  <c r="E7" i="2"/>
  <c r="F7" i="2"/>
  <c r="B7" i="2"/>
  <c r="K4" i="2"/>
  <c r="L4" i="2"/>
  <c r="J4" i="2"/>
  <c r="C4" i="2"/>
  <c r="D4" i="2"/>
  <c r="E4" i="2"/>
  <c r="F4" i="2"/>
  <c r="F21" i="2" s="1"/>
  <c r="B4" i="2"/>
  <c r="K31" i="2"/>
  <c r="L31" i="2"/>
  <c r="M31" i="2"/>
  <c r="N31" i="2"/>
  <c r="O31" i="2"/>
  <c r="P31" i="2"/>
  <c r="Q31" i="2"/>
  <c r="R31" i="2"/>
  <c r="S31" i="2"/>
  <c r="J31" i="2"/>
  <c r="C31" i="2"/>
  <c r="D31" i="2"/>
  <c r="E31" i="2"/>
  <c r="F31" i="2"/>
  <c r="B31" i="2"/>
  <c r="K11" i="2"/>
  <c r="L11" i="2"/>
  <c r="N11" i="2"/>
  <c r="J11" i="2"/>
  <c r="C11" i="2"/>
  <c r="D11" i="2"/>
  <c r="E11" i="2"/>
  <c r="F11" i="2"/>
  <c r="B11" i="2"/>
  <c r="K1" i="2"/>
  <c r="L1" i="2" s="1"/>
  <c r="M1" i="2" s="1"/>
  <c r="N1" i="2" s="1"/>
  <c r="O1" i="2" s="1"/>
  <c r="P1" i="2" s="1"/>
  <c r="Q1" i="2" s="1"/>
  <c r="R1" i="2" s="1"/>
  <c r="S1" i="2" s="1"/>
  <c r="G4" i="1"/>
  <c r="G7" i="1" s="1"/>
  <c r="H17" i="2" l="1"/>
  <c r="Q9" i="2"/>
  <c r="R9" i="2" s="1"/>
  <c r="S9" i="2" s="1"/>
  <c r="P11" i="2"/>
  <c r="O11" i="2"/>
  <c r="N18" i="2"/>
  <c r="N8" i="2"/>
  <c r="N15" i="2" s="1"/>
  <c r="R10" i="2"/>
  <c r="Q11" i="2"/>
  <c r="E8" i="2"/>
  <c r="E23" i="2" s="1"/>
  <c r="O6" i="2"/>
  <c r="P4" i="2"/>
  <c r="O21" i="2"/>
  <c r="O5" i="2"/>
  <c r="O7" i="2" s="1"/>
  <c r="P5" i="2"/>
  <c r="Q4" i="2"/>
  <c r="Q21" i="2" s="1"/>
  <c r="R4" i="2"/>
  <c r="C8" i="2"/>
  <c r="C15" i="2" s="1"/>
  <c r="C17" i="2" s="1"/>
  <c r="C18" i="2" s="1"/>
  <c r="J8" i="2"/>
  <c r="B8" i="2"/>
  <c r="B15" i="2" s="1"/>
  <c r="B27" i="2" s="1"/>
  <c r="D8" i="2"/>
  <c r="D15" i="2" s="1"/>
  <c r="D17" i="2" s="1"/>
  <c r="D18" i="2" s="1"/>
  <c r="F8" i="2"/>
  <c r="F23" i="2" s="1"/>
  <c r="F22" i="2"/>
  <c r="D22" i="2"/>
  <c r="K21" i="2"/>
  <c r="K8" i="2"/>
  <c r="K23" i="2" s="1"/>
  <c r="C22" i="2"/>
  <c r="E22" i="2"/>
  <c r="L21" i="2"/>
  <c r="N23" i="2"/>
  <c r="M21" i="2"/>
  <c r="L8" i="2"/>
  <c r="E15" i="2"/>
  <c r="E17" i="2" s="1"/>
  <c r="E18" i="2" s="1"/>
  <c r="B23" i="2"/>
  <c r="M27" i="2"/>
  <c r="P21" i="2" l="1"/>
  <c r="C23" i="2"/>
  <c r="R11" i="2"/>
  <c r="S10" i="2"/>
  <c r="S11" i="2" s="1"/>
  <c r="F15" i="2"/>
  <c r="F17" i="2" s="1"/>
  <c r="F18" i="2" s="1"/>
  <c r="D23" i="2"/>
  <c r="Q5" i="2"/>
  <c r="R21" i="2"/>
  <c r="P6" i="2"/>
  <c r="P7" i="2" s="1"/>
  <c r="P8" i="2" s="1"/>
  <c r="N17" i="2"/>
  <c r="N27" i="2"/>
  <c r="S4" i="2"/>
  <c r="S21" i="2" s="1"/>
  <c r="M17" i="2"/>
  <c r="M18" i="2" s="1"/>
  <c r="K17" i="2"/>
  <c r="K18" i="2" s="1"/>
  <c r="E27" i="2"/>
  <c r="J17" i="2"/>
  <c r="J18" i="2" s="1"/>
  <c r="O8" i="2"/>
  <c r="B17" i="2"/>
  <c r="B18" i="2" s="1"/>
  <c r="L23" i="2"/>
  <c r="D27" i="2"/>
  <c r="C27" i="2"/>
  <c r="F27" i="2"/>
  <c r="P23" i="2" l="1"/>
  <c r="P15" i="2"/>
  <c r="O23" i="2"/>
  <c r="O15" i="2"/>
  <c r="K27" i="2"/>
  <c r="Q6" i="2"/>
  <c r="Q7" i="2" s="1"/>
  <c r="Q8" i="2" s="1"/>
  <c r="L27" i="2"/>
  <c r="L17" i="2"/>
  <c r="L18" i="2" s="1"/>
  <c r="Q23" i="2" l="1"/>
  <c r="Q15" i="2"/>
  <c r="Q16" i="2" s="1"/>
  <c r="S6" i="2"/>
  <c r="R6" i="2"/>
  <c r="P16" i="2"/>
  <c r="P17" i="2" s="1"/>
  <c r="P18" i="2" l="1"/>
  <c r="Q17" i="2"/>
  <c r="Q18" i="2" s="1"/>
  <c r="O16" i="2"/>
  <c r="O17" i="2" s="1"/>
  <c r="O18" i="2" l="1"/>
  <c r="R5" i="2"/>
  <c r="R7" i="2" s="1"/>
  <c r="R8" i="2" s="1"/>
  <c r="R15" i="2" s="1"/>
  <c r="S5" i="2"/>
  <c r="S7" i="2" s="1"/>
  <c r="S8" i="2" s="1"/>
  <c r="S23" i="2" l="1"/>
  <c r="S15" i="2"/>
  <c r="S16" i="2"/>
  <c r="S17" i="2" s="1"/>
  <c r="S18" i="2" s="1"/>
  <c r="R23" i="2"/>
  <c r="T17" i="2" l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R16" i="2"/>
  <c r="R17" i="2" s="1"/>
  <c r="V29" i="2" l="1"/>
  <c r="V30" i="2" s="1"/>
  <c r="V31" i="2" s="1"/>
  <c r="R18" i="2"/>
</calcChain>
</file>

<file path=xl/sharedStrings.xml><?xml version="1.0" encoding="utf-8"?>
<sst xmlns="http://schemas.openxmlformats.org/spreadsheetml/2006/main" count="56" uniqueCount="49">
  <si>
    <t>Price</t>
  </si>
  <si>
    <t>Shares</t>
  </si>
  <si>
    <t>MC</t>
  </si>
  <si>
    <t>Cash</t>
  </si>
  <si>
    <t>Debt</t>
  </si>
  <si>
    <t>EV</t>
  </si>
  <si>
    <t>Q424</t>
  </si>
  <si>
    <t>GM</t>
  </si>
  <si>
    <t>Revenue</t>
  </si>
  <si>
    <t>COGS</t>
  </si>
  <si>
    <t>Gross Profit</t>
  </si>
  <si>
    <t>OPEX</t>
  </si>
  <si>
    <t>Interest</t>
  </si>
  <si>
    <t>Other</t>
  </si>
  <si>
    <t>Pretax Income</t>
  </si>
  <si>
    <t>Tax</t>
  </si>
  <si>
    <t>Net Income</t>
  </si>
  <si>
    <t>EPS</t>
  </si>
  <si>
    <t>Gross Margin</t>
  </si>
  <si>
    <t>Tax Rate</t>
  </si>
  <si>
    <t>CFFO</t>
  </si>
  <si>
    <t>CX</t>
  </si>
  <si>
    <t>FCF</t>
  </si>
  <si>
    <t>Q124</t>
  </si>
  <si>
    <t>Q224</t>
  </si>
  <si>
    <t>Q324</t>
  </si>
  <si>
    <t>Q125</t>
  </si>
  <si>
    <t>Revenue Growth y/y</t>
  </si>
  <si>
    <t>Revenue Growth q/q</t>
  </si>
  <si>
    <t>Maturity</t>
  </si>
  <si>
    <t>Discount</t>
  </si>
  <si>
    <t>NPV</t>
  </si>
  <si>
    <t>Diff</t>
  </si>
  <si>
    <t>RFR</t>
  </si>
  <si>
    <t>ERP</t>
  </si>
  <si>
    <t>America</t>
  </si>
  <si>
    <t>China</t>
  </si>
  <si>
    <t>Europe</t>
  </si>
  <si>
    <t>Total</t>
  </si>
  <si>
    <t xml:space="preserve"> </t>
  </si>
  <si>
    <t>Automotive COGS</t>
  </si>
  <si>
    <t>Automotive Revenue</t>
  </si>
  <si>
    <t>GM Financial Revenue</t>
  </si>
  <si>
    <t>GM Financial COGS</t>
  </si>
  <si>
    <t>Automotive GM</t>
  </si>
  <si>
    <t>GM Financial GM</t>
  </si>
  <si>
    <t>SG&amp;A</t>
  </si>
  <si>
    <t>Operating &amp; Other</t>
  </si>
  <si>
    <t>Equity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</si>
</sst>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4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9525</xdr:rowOff>
    </xdr:from>
    <xdr:to>
      <xdr:col>14</xdr:col>
      <xdr:colOff>0</xdr:colOff>
      <xdr:row>31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C794B7-DA96-EE67-3269-131FEC96F1DA}"/>
            </a:ext>
          </a:extLst>
        </xdr:cNvPr>
        <xdr:cNvCxnSpPr/>
      </xdr:nvCxnSpPr>
      <xdr:spPr>
        <a:xfrm>
          <a:off x="7924800" y="9525"/>
          <a:ext cx="0" cy="4324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38100</xdr:rowOff>
    </xdr:from>
    <xdr:to>
      <xdr:col>5</xdr:col>
      <xdr:colOff>9525</xdr:colOff>
      <xdr:row>33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697A90B-723D-6B07-3BDB-7E27C87D4EC6}"/>
            </a:ext>
          </a:extLst>
        </xdr:cNvPr>
        <xdr:cNvCxnSpPr/>
      </xdr:nvCxnSpPr>
      <xdr:spPr>
        <a:xfrm>
          <a:off x="3057525" y="38100"/>
          <a:ext cx="0" cy="46386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4902-2C92-4F4E-A748-111BF9D1BAA9}">
  <dimension ref="A1:H7"/>
  <sheetViews>
    <sheetView tabSelected="1" zoomScale="235" zoomScaleNormal="235" workbookViewId="0">
      <selection activeCell="G3" sqref="G3"/>
    </sheetView>
  </sheetViews>
  <sheetFormatPr defaultRowHeight="15" x14ac:dyDescent="0.25"/>
  <sheetData>
    <row r="1" spans="1:8" x14ac:dyDescent="0.25">
      <c r="A1" s="1" t="s">
        <v>7</v>
      </c>
    </row>
    <row r="2" spans="1:8" x14ac:dyDescent="0.25">
      <c r="F2" t="s">
        <v>0</v>
      </c>
      <c r="G2" s="2">
        <v>47</v>
      </c>
    </row>
    <row r="3" spans="1:8" x14ac:dyDescent="0.25">
      <c r="F3" t="s">
        <v>1</v>
      </c>
      <c r="G3" s="2">
        <v>995</v>
      </c>
      <c r="H3" t="s">
        <v>6</v>
      </c>
    </row>
    <row r="4" spans="1:8" x14ac:dyDescent="0.25">
      <c r="F4" t="s">
        <v>2</v>
      </c>
      <c r="G4" s="2">
        <f>G3*G2</f>
        <v>46765</v>
      </c>
    </row>
    <row r="5" spans="1:8" x14ac:dyDescent="0.25">
      <c r="F5" t="s">
        <v>3</v>
      </c>
      <c r="G5" s="2">
        <v>27000</v>
      </c>
      <c r="H5" t="s">
        <v>6</v>
      </c>
    </row>
    <row r="6" spans="1:8" x14ac:dyDescent="0.25">
      <c r="F6" t="s">
        <v>4</v>
      </c>
      <c r="G6" s="2">
        <v>118000</v>
      </c>
      <c r="H6" t="s">
        <v>6</v>
      </c>
    </row>
    <row r="7" spans="1:8" x14ac:dyDescent="0.25">
      <c r="F7" t="s">
        <v>5</v>
      </c>
      <c r="G7" s="2">
        <f>G4+G6-G5</f>
        <v>137765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AC3A-67DE-4CB1-8123-5EB8CCD526FA}">
  <dimension ref="A1:CN37"/>
  <sheetViews>
    <sheetView workbookViewId="0">
      <pane xSplit="1" ySplit="1" topLeftCell="G6" activePane="bottomRight" state="frozen"/>
      <selection pane="topRight" activeCell="B1" sqref="B1"/>
      <selection pane="bottomLeft" activeCell="A2" sqref="A2"/>
      <selection pane="bottomRight" activeCell="U34" sqref="U34"/>
    </sheetView>
  </sheetViews>
  <sheetFormatPr defaultRowHeight="15" x14ac:dyDescent="0.25"/>
  <cols>
    <col min="1" max="1" width="19.85546875" style="2" customWidth="1"/>
    <col min="2" max="16384" width="9.140625" style="2"/>
  </cols>
  <sheetData>
    <row r="1" spans="1:19" x14ac:dyDescent="0.25">
      <c r="B1" s="2" t="s">
        <v>23</v>
      </c>
      <c r="C1" s="2" t="s">
        <v>24</v>
      </c>
      <c r="D1" s="2" t="s">
        <v>25</v>
      </c>
      <c r="E1" s="2" t="s">
        <v>6</v>
      </c>
      <c r="F1" s="2" t="s">
        <v>26</v>
      </c>
      <c r="H1" s="4">
        <v>2018</v>
      </c>
      <c r="I1" s="4">
        <v>2019</v>
      </c>
      <c r="J1" s="4">
        <v>2020</v>
      </c>
      <c r="K1" s="4">
        <f>J1+1</f>
        <v>2021</v>
      </c>
      <c r="L1" s="4">
        <f t="shared" ref="L1:S1" si="0">K1+1</f>
        <v>2022</v>
      </c>
      <c r="M1" s="4">
        <f t="shared" si="0"/>
        <v>2023</v>
      </c>
      <c r="N1" s="4">
        <f t="shared" si="0"/>
        <v>2024</v>
      </c>
      <c r="O1" s="4">
        <f t="shared" si="0"/>
        <v>2025</v>
      </c>
      <c r="P1" s="4">
        <f t="shared" si="0"/>
        <v>2026</v>
      </c>
      <c r="Q1" s="4">
        <f t="shared" si="0"/>
        <v>2027</v>
      </c>
      <c r="R1" s="4">
        <f t="shared" si="0"/>
        <v>2028</v>
      </c>
      <c r="S1" s="4">
        <f t="shared" si="0"/>
        <v>2029</v>
      </c>
    </row>
    <row r="2" spans="1:19" x14ac:dyDescent="0.25">
      <c r="A2" s="2" t="s">
        <v>41</v>
      </c>
      <c r="H2" s="2">
        <v>133045</v>
      </c>
      <c r="I2" s="2">
        <v>122697</v>
      </c>
      <c r="J2" s="2">
        <v>108673</v>
      </c>
      <c r="L2" s="2">
        <v>144000</v>
      </c>
      <c r="M2" s="2">
        <v>158000</v>
      </c>
      <c r="N2" s="2">
        <v>172000</v>
      </c>
      <c r="O2" s="2">
        <f>N2*1.1</f>
        <v>189200.00000000003</v>
      </c>
      <c r="P2" s="2">
        <f>O2*1.08</f>
        <v>204336.00000000006</v>
      </c>
      <c r="Q2" s="2">
        <f t="shared" ref="Q2:S2" si="1">P2*1.08</f>
        <v>220682.88000000006</v>
      </c>
      <c r="R2" s="2">
        <f t="shared" si="1"/>
        <v>238337.51040000009</v>
      </c>
      <c r="S2" s="2">
        <f t="shared" si="1"/>
        <v>257404.51123200011</v>
      </c>
    </row>
    <row r="3" spans="1:19" x14ac:dyDescent="0.25">
      <c r="A3" s="2" t="s">
        <v>42</v>
      </c>
      <c r="H3" s="2">
        <v>14004</v>
      </c>
      <c r="I3" s="2">
        <v>14450</v>
      </c>
      <c r="J3" s="2">
        <v>13812</v>
      </c>
      <c r="L3" s="2">
        <v>13000</v>
      </c>
      <c r="M3" s="2">
        <v>14000</v>
      </c>
      <c r="N3" s="2">
        <v>16000</v>
      </c>
      <c r="O3" s="2">
        <f>N3*1.02</f>
        <v>16320</v>
      </c>
      <c r="P3" s="2">
        <f t="shared" ref="P3:S3" si="2">O3*1.02</f>
        <v>16646.400000000001</v>
      </c>
      <c r="Q3" s="2">
        <f t="shared" si="2"/>
        <v>16979.328000000001</v>
      </c>
      <c r="R3" s="2">
        <f t="shared" si="2"/>
        <v>17318.914560000001</v>
      </c>
      <c r="S3" s="2">
        <f t="shared" si="2"/>
        <v>17665.2928512</v>
      </c>
    </row>
    <row r="4" spans="1:19" x14ac:dyDescent="0.25">
      <c r="A4" s="7" t="s">
        <v>8</v>
      </c>
      <c r="B4" s="7">
        <f>SUM(B2:B3)</f>
        <v>0</v>
      </c>
      <c r="C4" s="7">
        <f t="shared" ref="C4:F4" si="3">SUM(C2:C3)</f>
        <v>0</v>
      </c>
      <c r="D4" s="7">
        <f t="shared" si="3"/>
        <v>0</v>
      </c>
      <c r="E4" s="7">
        <f t="shared" si="3"/>
        <v>0</v>
      </c>
      <c r="F4" s="7">
        <f t="shared" si="3"/>
        <v>0</v>
      </c>
      <c r="H4" s="7">
        <f t="shared" ref="H4:J4" si="4">SUM(H2:H3)</f>
        <v>147049</v>
      </c>
      <c r="I4" s="7">
        <f t="shared" si="4"/>
        <v>137147</v>
      </c>
      <c r="J4" s="7">
        <f t="shared" si="4"/>
        <v>122485</v>
      </c>
      <c r="K4" s="7">
        <f t="shared" ref="K4" si="5">SUM(K2:K3)</f>
        <v>0</v>
      </c>
      <c r="L4" s="7">
        <f t="shared" ref="L4" si="6">SUM(L2:L3)</f>
        <v>157000</v>
      </c>
      <c r="M4" s="7">
        <f t="shared" ref="M4" si="7">SUM(M2:M3)</f>
        <v>172000</v>
      </c>
      <c r="N4" s="7">
        <f t="shared" ref="N4" si="8">SUM(N2:N3)</f>
        <v>188000</v>
      </c>
      <c r="O4" s="7">
        <f t="shared" ref="O4" si="9">SUM(O2:O3)</f>
        <v>205520.00000000003</v>
      </c>
      <c r="P4" s="7">
        <f t="shared" ref="P4" si="10">SUM(P2:P3)</f>
        <v>220982.40000000005</v>
      </c>
      <c r="Q4" s="7">
        <f t="shared" ref="Q4" si="11">SUM(Q2:Q3)</f>
        <v>237662.20800000007</v>
      </c>
      <c r="R4" s="7">
        <f t="shared" ref="R4" si="12">SUM(R2:R3)</f>
        <v>255656.42496000009</v>
      </c>
      <c r="S4" s="7">
        <f t="shared" ref="S4" si="13">SUM(S2:S3)</f>
        <v>275069.80408320011</v>
      </c>
    </row>
    <row r="5" spans="1:19" x14ac:dyDescent="0.25">
      <c r="A5" s="2" t="s">
        <v>40</v>
      </c>
      <c r="H5" s="2">
        <v>120656</v>
      </c>
      <c r="I5" s="2">
        <v>110651</v>
      </c>
      <c r="J5" s="2">
        <v>97539</v>
      </c>
      <c r="L5" s="2">
        <v>127000</v>
      </c>
      <c r="M5" s="2">
        <v>141000</v>
      </c>
      <c r="N5" s="2">
        <v>151000</v>
      </c>
      <c r="O5" s="2">
        <f t="shared" ref="O5:S6" si="14">O2*(1-O24)</f>
        <v>165176.00000000003</v>
      </c>
      <c r="P5" s="2">
        <f t="shared" si="14"/>
        <v>177352.24320000003</v>
      </c>
      <c r="Q5" s="2">
        <f t="shared" si="14"/>
        <v>190374.72436224006</v>
      </c>
      <c r="R5" s="2">
        <f t="shared" si="14"/>
        <v>204295.38998766805</v>
      </c>
      <c r="S5" s="2">
        <f t="shared" si="14"/>
        <v>219168.40158486873</v>
      </c>
    </row>
    <row r="6" spans="1:19" x14ac:dyDescent="0.25">
      <c r="A6" s="2" t="s">
        <v>43</v>
      </c>
      <c r="H6" s="2">
        <v>12298</v>
      </c>
      <c r="I6" s="2">
        <v>12614</v>
      </c>
      <c r="J6" s="2">
        <v>11274</v>
      </c>
      <c r="L6" s="2">
        <v>9000</v>
      </c>
      <c r="M6" s="2">
        <v>11000</v>
      </c>
      <c r="N6" s="2">
        <v>13000</v>
      </c>
      <c r="O6" s="2">
        <f t="shared" si="14"/>
        <v>13198.8</v>
      </c>
      <c r="P6" s="2">
        <f t="shared" si="14"/>
        <v>13399.103520000001</v>
      </c>
      <c r="Q6" s="2">
        <f t="shared" si="14"/>
        <v>13600.840742208002</v>
      </c>
      <c r="R6" s="2">
        <f t="shared" si="14"/>
        <v>11950.0510464</v>
      </c>
      <c r="S6" s="2">
        <f t="shared" si="14"/>
        <v>12189.052067327999</v>
      </c>
    </row>
    <row r="7" spans="1:19" x14ac:dyDescent="0.25">
      <c r="A7" s="2" t="s">
        <v>9</v>
      </c>
      <c r="B7" s="2">
        <f>SUM(B5:B6)</f>
        <v>0</v>
      </c>
      <c r="C7" s="2">
        <f t="shared" ref="C7:F7" si="15">SUM(C5:C6)</f>
        <v>0</v>
      </c>
      <c r="D7" s="2">
        <f t="shared" si="15"/>
        <v>0</v>
      </c>
      <c r="E7" s="2">
        <f t="shared" si="15"/>
        <v>0</v>
      </c>
      <c r="F7" s="2">
        <f t="shared" si="15"/>
        <v>0</v>
      </c>
      <c r="H7" s="2">
        <f t="shared" ref="H7:K7" si="16">SUM(H5:H6)</f>
        <v>132954</v>
      </c>
      <c r="I7" s="2">
        <f t="shared" si="16"/>
        <v>123265</v>
      </c>
      <c r="J7" s="2">
        <f t="shared" si="16"/>
        <v>108813</v>
      </c>
      <c r="K7" s="2">
        <f t="shared" si="16"/>
        <v>0</v>
      </c>
      <c r="L7" s="2">
        <f t="shared" ref="L7" si="17">SUM(L5:L6)</f>
        <v>136000</v>
      </c>
      <c r="M7" s="2">
        <f t="shared" ref="M7" si="18">SUM(M5:M6)</f>
        <v>152000</v>
      </c>
      <c r="N7" s="2">
        <f t="shared" ref="N7" si="19">SUM(N5:N6)</f>
        <v>164000</v>
      </c>
      <c r="O7" s="2">
        <f t="shared" ref="O7" si="20">SUM(O5:O6)</f>
        <v>178374.80000000002</v>
      </c>
      <c r="P7" s="2">
        <f t="shared" ref="P7" si="21">SUM(P5:P6)</f>
        <v>190751.34672000003</v>
      </c>
      <c r="Q7" s="2">
        <f t="shared" ref="Q7" si="22">SUM(Q5:Q6)</f>
        <v>203975.56510444806</v>
      </c>
      <c r="R7" s="2">
        <f t="shared" ref="R7" si="23">SUM(R5:R6)</f>
        <v>216245.44103406806</v>
      </c>
      <c r="S7" s="2">
        <f t="shared" ref="S7" si="24">SUM(S5:S6)</f>
        <v>231357.45365219674</v>
      </c>
    </row>
    <row r="8" spans="1:19" x14ac:dyDescent="0.25">
      <c r="A8" s="2" t="s">
        <v>10</v>
      </c>
      <c r="B8" s="2">
        <f>B4-B7</f>
        <v>0</v>
      </c>
      <c r="C8" s="2">
        <f>C4-C7</f>
        <v>0</v>
      </c>
      <c r="D8" s="2">
        <f>D4-D7</f>
        <v>0</v>
      </c>
      <c r="E8" s="2">
        <f>E4-E7</f>
        <v>0</v>
      </c>
      <c r="F8" s="2">
        <f>F4-F7</f>
        <v>0</v>
      </c>
      <c r="H8" s="2">
        <f t="shared" ref="H8:S8" si="25">H4-H7</f>
        <v>14095</v>
      </c>
      <c r="I8" s="2">
        <f t="shared" si="25"/>
        <v>13882</v>
      </c>
      <c r="J8" s="2">
        <f t="shared" si="25"/>
        <v>13672</v>
      </c>
      <c r="K8" s="2">
        <f t="shared" si="25"/>
        <v>0</v>
      </c>
      <c r="L8" s="2">
        <f t="shared" si="25"/>
        <v>21000</v>
      </c>
      <c r="M8" s="2">
        <f t="shared" si="25"/>
        <v>20000</v>
      </c>
      <c r="N8" s="2">
        <f t="shared" si="25"/>
        <v>24000</v>
      </c>
      <c r="O8" s="2">
        <f t="shared" si="25"/>
        <v>27145.200000000012</v>
      </c>
      <c r="P8" s="2">
        <f t="shared" si="25"/>
        <v>30231.053280000022</v>
      </c>
      <c r="Q8" s="2">
        <f t="shared" si="25"/>
        <v>33686.64289555201</v>
      </c>
      <c r="R8" s="2">
        <f t="shared" si="25"/>
        <v>39410.983925932029</v>
      </c>
      <c r="S8" s="2">
        <f t="shared" si="25"/>
        <v>43712.350431003375</v>
      </c>
    </row>
    <row r="9" spans="1:19" x14ac:dyDescent="0.25">
      <c r="A9" s="2" t="s">
        <v>47</v>
      </c>
      <c r="L9" s="2">
        <v>8862</v>
      </c>
      <c r="M9" s="2">
        <v>11374</v>
      </c>
      <c r="N9" s="2">
        <v>12972</v>
      </c>
      <c r="O9" s="2">
        <f>N9*1.1</f>
        <v>14269.2</v>
      </c>
      <c r="P9" s="2">
        <f t="shared" ref="P9:S9" si="26">O9*1.1</f>
        <v>15696.120000000003</v>
      </c>
      <c r="Q9" s="2">
        <f t="shared" si="26"/>
        <v>17265.732000000004</v>
      </c>
      <c r="R9" s="2">
        <f t="shared" si="26"/>
        <v>18992.305200000006</v>
      </c>
      <c r="S9" s="2">
        <f t="shared" si="26"/>
        <v>20891.535720000007</v>
      </c>
    </row>
    <row r="10" spans="1:19" x14ac:dyDescent="0.25">
      <c r="A10" s="2" t="s">
        <v>46</v>
      </c>
      <c r="H10" s="2">
        <v>9650</v>
      </c>
      <c r="I10" s="2">
        <v>8491</v>
      </c>
      <c r="J10" s="2">
        <v>7038</v>
      </c>
      <c r="L10" s="2">
        <v>10667</v>
      </c>
      <c r="M10" s="2">
        <v>9840</v>
      </c>
      <c r="N10" s="2">
        <v>10621</v>
      </c>
      <c r="O10" s="2">
        <f>N10*1.02</f>
        <v>10833.42</v>
      </c>
      <c r="P10" s="2">
        <f t="shared" ref="P10:S10" si="27">O10*1.02</f>
        <v>11050.088400000001</v>
      </c>
      <c r="Q10" s="2">
        <f t="shared" si="27"/>
        <v>11271.090168000001</v>
      </c>
      <c r="R10" s="2">
        <f t="shared" si="27"/>
        <v>11496.511971360002</v>
      </c>
      <c r="S10" s="2">
        <f t="shared" si="27"/>
        <v>11726.442210787201</v>
      </c>
    </row>
    <row r="11" spans="1:19" x14ac:dyDescent="0.25">
      <c r="A11" s="2" t="s">
        <v>11</v>
      </c>
      <c r="B11" s="2">
        <f>SUM(B9:B10)</f>
        <v>0</v>
      </c>
      <c r="C11" s="2">
        <f>SUM(C9:C10)</f>
        <v>0</v>
      </c>
      <c r="D11" s="2">
        <f>SUM(D9:D10)</f>
        <v>0</v>
      </c>
      <c r="E11" s="2">
        <f>SUM(E9:E10)</f>
        <v>0</v>
      </c>
      <c r="F11" s="2">
        <f>SUM(F9:F10)</f>
        <v>0</v>
      </c>
      <c r="H11" s="2">
        <f t="shared" ref="H11:S11" si="28">SUM(H9:H10)</f>
        <v>9650</v>
      </c>
      <c r="I11" s="2">
        <f t="shared" si="28"/>
        <v>8491</v>
      </c>
      <c r="J11" s="2">
        <f t="shared" si="28"/>
        <v>7038</v>
      </c>
      <c r="K11" s="2">
        <f t="shared" si="28"/>
        <v>0</v>
      </c>
      <c r="L11" s="2">
        <f t="shared" si="28"/>
        <v>19529</v>
      </c>
      <c r="M11" s="2">
        <f t="shared" si="28"/>
        <v>21214</v>
      </c>
      <c r="N11" s="2">
        <f t="shared" si="28"/>
        <v>23593</v>
      </c>
      <c r="O11" s="2">
        <f t="shared" si="28"/>
        <v>25102.620000000003</v>
      </c>
      <c r="P11" s="2">
        <f t="shared" si="28"/>
        <v>26746.208400000003</v>
      </c>
      <c r="Q11" s="2">
        <f t="shared" si="28"/>
        <v>28536.822168000006</v>
      </c>
      <c r="R11" s="2">
        <f t="shared" si="28"/>
        <v>30488.81717136001</v>
      </c>
      <c r="S11" s="2">
        <f t="shared" si="28"/>
        <v>32617.977930787209</v>
      </c>
    </row>
    <row r="12" spans="1:19" x14ac:dyDescent="0.25">
      <c r="A12" s="2" t="s">
        <v>12</v>
      </c>
      <c r="H12" s="2">
        <v>2596</v>
      </c>
      <c r="I12" s="2">
        <v>1469</v>
      </c>
      <c r="J12" s="2">
        <v>1885</v>
      </c>
      <c r="L12" s="2">
        <v>1400</v>
      </c>
      <c r="M12" s="2">
        <v>1500</v>
      </c>
      <c r="N12" s="2">
        <v>1300</v>
      </c>
      <c r="O12" s="2">
        <f>N12*1.02</f>
        <v>1326</v>
      </c>
      <c r="P12" s="2">
        <f t="shared" ref="P12:S12" si="29">O12*1.02</f>
        <v>1352.52</v>
      </c>
      <c r="Q12" s="2">
        <f t="shared" si="29"/>
        <v>1379.5704000000001</v>
      </c>
      <c r="R12" s="2">
        <f t="shared" si="29"/>
        <v>1407.1618080000001</v>
      </c>
      <c r="S12" s="2">
        <f t="shared" si="29"/>
        <v>1435.3050441600001</v>
      </c>
    </row>
    <row r="13" spans="1:19" x14ac:dyDescent="0.25">
      <c r="A13" s="2" t="s">
        <v>48</v>
      </c>
      <c r="H13" s="2">
        <v>2163</v>
      </c>
      <c r="I13" s="2">
        <v>1268</v>
      </c>
      <c r="J13" s="2">
        <v>674</v>
      </c>
      <c r="L13" s="2">
        <v>2100</v>
      </c>
      <c r="M13" s="2">
        <v>2100</v>
      </c>
      <c r="N13" s="2">
        <v>2100</v>
      </c>
      <c r="O13" s="2">
        <f>N13*1.1</f>
        <v>2310</v>
      </c>
      <c r="P13" s="2">
        <f t="shared" ref="P13:S13" si="30">O13*1.1</f>
        <v>2541</v>
      </c>
      <c r="Q13" s="2">
        <f t="shared" si="30"/>
        <v>2795.1000000000004</v>
      </c>
      <c r="R13" s="2">
        <f t="shared" si="30"/>
        <v>3074.6100000000006</v>
      </c>
      <c r="S13" s="2">
        <f t="shared" si="30"/>
        <v>3382.0710000000008</v>
      </c>
    </row>
    <row r="15" spans="1:19" x14ac:dyDescent="0.25">
      <c r="A15" s="2" t="s">
        <v>14</v>
      </c>
      <c r="B15" s="2">
        <f>B8-B11+B12+B14</f>
        <v>0</v>
      </c>
      <c r="C15" s="2">
        <f>C8-C11+C12+C14</f>
        <v>0</v>
      </c>
      <c r="D15" s="2">
        <f>D8-D11+D12+D14</f>
        <v>0</v>
      </c>
      <c r="E15" s="2">
        <f>E8-E11+E12+E14</f>
        <v>0</v>
      </c>
      <c r="F15" s="2">
        <f>F8-F11+F12+F14</f>
        <v>0</v>
      </c>
      <c r="H15" s="2">
        <f>H8-H11+H12+H13</f>
        <v>9204</v>
      </c>
      <c r="I15" s="2">
        <f t="shared" ref="I15:S15" si="31">I8-I11+I12+I13</f>
        <v>8128</v>
      </c>
      <c r="J15" s="2">
        <f t="shared" si="31"/>
        <v>9193</v>
      </c>
      <c r="K15" s="2">
        <f t="shared" si="31"/>
        <v>0</v>
      </c>
      <c r="L15" s="2">
        <f t="shared" si="31"/>
        <v>4971</v>
      </c>
      <c r="M15" s="2">
        <f t="shared" si="31"/>
        <v>2386</v>
      </c>
      <c r="N15" s="2">
        <f t="shared" si="31"/>
        <v>3807</v>
      </c>
      <c r="O15" s="2">
        <f t="shared" si="31"/>
        <v>5678.580000000009</v>
      </c>
      <c r="P15" s="2">
        <f t="shared" si="31"/>
        <v>7378.3648800000192</v>
      </c>
      <c r="Q15" s="2">
        <f t="shared" si="31"/>
        <v>9324.4911275520044</v>
      </c>
      <c r="R15" s="2">
        <f t="shared" si="31"/>
        <v>13403.938562572021</v>
      </c>
      <c r="S15" s="2">
        <f t="shared" si="31"/>
        <v>15911.748544376169</v>
      </c>
    </row>
    <row r="16" spans="1:19" x14ac:dyDescent="0.25">
      <c r="A16" s="2" t="s">
        <v>15</v>
      </c>
      <c r="H16" s="2">
        <v>474</v>
      </c>
      <c r="I16" s="2">
        <v>769</v>
      </c>
      <c r="J16" s="2">
        <v>1774</v>
      </c>
      <c r="L16" s="2">
        <v>1900</v>
      </c>
      <c r="M16" s="2">
        <v>560</v>
      </c>
      <c r="N16" s="2">
        <v>2560</v>
      </c>
      <c r="O16" s="2">
        <f>O15*O27</f>
        <v>851.78700000000129</v>
      </c>
      <c r="P16" s="2">
        <f>P15*P27</f>
        <v>1106.7547320000028</v>
      </c>
      <c r="Q16" s="2">
        <f>Q15*Q27</f>
        <v>1398.6736691328006</v>
      </c>
      <c r="R16" s="2">
        <f>R15*R27</f>
        <v>2010.5907843858031</v>
      </c>
      <c r="S16" s="2">
        <f>S15*S27</f>
        <v>2386.7622816564253</v>
      </c>
    </row>
    <row r="17" spans="1:92" x14ac:dyDescent="0.25">
      <c r="A17" s="7" t="s">
        <v>16</v>
      </c>
      <c r="B17" s="7">
        <f>B15-B16</f>
        <v>0</v>
      </c>
      <c r="C17" s="7">
        <f>C15-C16</f>
        <v>0</v>
      </c>
      <c r="D17" s="7">
        <f>D15-D16</f>
        <v>0</v>
      </c>
      <c r="E17" s="7">
        <f>E15-E16</f>
        <v>0</v>
      </c>
      <c r="F17" s="7">
        <f>F15-F16</f>
        <v>0</v>
      </c>
      <c r="H17" s="7">
        <f t="shared" ref="H17:S17" si="32">H15-H16</f>
        <v>8730</v>
      </c>
      <c r="I17" s="7">
        <f t="shared" si="32"/>
        <v>7359</v>
      </c>
      <c r="J17" s="7">
        <f t="shared" si="32"/>
        <v>7419</v>
      </c>
      <c r="K17" s="7">
        <f t="shared" si="32"/>
        <v>0</v>
      </c>
      <c r="L17" s="7">
        <f t="shared" si="32"/>
        <v>3071</v>
      </c>
      <c r="M17" s="7">
        <f t="shared" si="32"/>
        <v>1826</v>
      </c>
      <c r="N17" s="7">
        <f t="shared" si="32"/>
        <v>1247</v>
      </c>
      <c r="O17" s="7">
        <f t="shared" si="32"/>
        <v>4826.7930000000079</v>
      </c>
      <c r="P17" s="7">
        <f t="shared" si="32"/>
        <v>6271.6101480000161</v>
      </c>
      <c r="Q17" s="7">
        <f t="shared" si="32"/>
        <v>7925.8174584192038</v>
      </c>
      <c r="R17" s="7">
        <f t="shared" si="32"/>
        <v>11393.347778186217</v>
      </c>
      <c r="S17" s="7">
        <f t="shared" si="32"/>
        <v>13524.986262719744</v>
      </c>
      <c r="T17" s="7">
        <f t="shared" ref="T17:AY17" si="33">S17*(1+$V$27)</f>
        <v>13524.986262719744</v>
      </c>
      <c r="U17" s="7">
        <f t="shared" si="33"/>
        <v>13524.986262719744</v>
      </c>
      <c r="V17" s="7">
        <f t="shared" si="33"/>
        <v>13524.986262719744</v>
      </c>
      <c r="W17" s="7">
        <f t="shared" si="33"/>
        <v>13524.986262719744</v>
      </c>
      <c r="X17" s="7">
        <f t="shared" si="33"/>
        <v>13524.986262719744</v>
      </c>
      <c r="Y17" s="7">
        <f t="shared" si="33"/>
        <v>13524.986262719744</v>
      </c>
      <c r="Z17" s="7">
        <f t="shared" si="33"/>
        <v>13524.986262719744</v>
      </c>
      <c r="AA17" s="7">
        <f t="shared" si="33"/>
        <v>13524.986262719744</v>
      </c>
      <c r="AB17" s="7">
        <f t="shared" si="33"/>
        <v>13524.986262719744</v>
      </c>
      <c r="AC17" s="7">
        <f t="shared" si="33"/>
        <v>13524.986262719744</v>
      </c>
      <c r="AD17" s="7">
        <f t="shared" si="33"/>
        <v>13524.986262719744</v>
      </c>
      <c r="AE17" s="7">
        <f t="shared" si="33"/>
        <v>13524.986262719744</v>
      </c>
      <c r="AF17" s="7">
        <f t="shared" si="33"/>
        <v>13524.986262719744</v>
      </c>
      <c r="AG17" s="7">
        <f t="shared" si="33"/>
        <v>13524.986262719744</v>
      </c>
      <c r="AH17" s="7">
        <f t="shared" si="33"/>
        <v>13524.986262719744</v>
      </c>
      <c r="AI17" s="7">
        <f t="shared" si="33"/>
        <v>13524.986262719744</v>
      </c>
      <c r="AJ17" s="7">
        <f t="shared" si="33"/>
        <v>13524.986262719744</v>
      </c>
      <c r="AK17" s="7">
        <f t="shared" si="33"/>
        <v>13524.986262719744</v>
      </c>
      <c r="AL17" s="7">
        <f t="shared" si="33"/>
        <v>13524.986262719744</v>
      </c>
      <c r="AM17" s="7">
        <f t="shared" si="33"/>
        <v>13524.986262719744</v>
      </c>
      <c r="AN17" s="7">
        <f t="shared" si="33"/>
        <v>13524.986262719744</v>
      </c>
      <c r="AO17" s="7">
        <f t="shared" si="33"/>
        <v>13524.986262719744</v>
      </c>
      <c r="AP17" s="7">
        <f t="shared" si="33"/>
        <v>13524.986262719744</v>
      </c>
      <c r="AQ17" s="7">
        <f t="shared" si="33"/>
        <v>13524.986262719744</v>
      </c>
      <c r="AR17" s="7">
        <f t="shared" si="33"/>
        <v>13524.986262719744</v>
      </c>
      <c r="AS17" s="7">
        <f t="shared" si="33"/>
        <v>13524.986262719744</v>
      </c>
      <c r="AT17" s="7">
        <f t="shared" si="33"/>
        <v>13524.986262719744</v>
      </c>
      <c r="AU17" s="7">
        <f t="shared" si="33"/>
        <v>13524.986262719744</v>
      </c>
      <c r="AV17" s="7">
        <f t="shared" si="33"/>
        <v>13524.986262719744</v>
      </c>
      <c r="AW17" s="7">
        <f t="shared" si="33"/>
        <v>13524.986262719744</v>
      </c>
      <c r="AX17" s="7">
        <f t="shared" si="33"/>
        <v>13524.986262719744</v>
      </c>
      <c r="AY17" s="7">
        <f t="shared" si="33"/>
        <v>13524.986262719744</v>
      </c>
      <c r="AZ17" s="7">
        <f t="shared" ref="AZ17:BV17" si="34">AY17*(1+$V$27)</f>
        <v>13524.986262719744</v>
      </c>
      <c r="BA17" s="7">
        <f t="shared" si="34"/>
        <v>13524.986262719744</v>
      </c>
      <c r="BB17" s="7">
        <f t="shared" si="34"/>
        <v>13524.986262719744</v>
      </c>
      <c r="BC17" s="7">
        <f t="shared" si="34"/>
        <v>13524.986262719744</v>
      </c>
      <c r="BD17" s="7">
        <f t="shared" si="34"/>
        <v>13524.986262719744</v>
      </c>
      <c r="BE17" s="7">
        <f t="shared" si="34"/>
        <v>13524.986262719744</v>
      </c>
      <c r="BF17" s="7">
        <f t="shared" si="34"/>
        <v>13524.986262719744</v>
      </c>
      <c r="BG17" s="7">
        <f t="shared" si="34"/>
        <v>13524.986262719744</v>
      </c>
      <c r="BH17" s="7">
        <f t="shared" si="34"/>
        <v>13524.986262719744</v>
      </c>
      <c r="BI17" s="7">
        <f t="shared" si="34"/>
        <v>13524.986262719744</v>
      </c>
      <c r="BJ17" s="7">
        <f t="shared" si="34"/>
        <v>13524.986262719744</v>
      </c>
      <c r="BK17" s="7">
        <f t="shared" si="34"/>
        <v>13524.986262719744</v>
      </c>
      <c r="BL17" s="7">
        <f t="shared" si="34"/>
        <v>13524.986262719744</v>
      </c>
      <c r="BM17" s="7">
        <f t="shared" si="34"/>
        <v>13524.986262719744</v>
      </c>
      <c r="BN17" s="7">
        <f t="shared" si="34"/>
        <v>13524.986262719744</v>
      </c>
      <c r="BO17" s="7">
        <f t="shared" si="34"/>
        <v>13524.986262719744</v>
      </c>
      <c r="BP17" s="7">
        <f t="shared" si="34"/>
        <v>13524.986262719744</v>
      </c>
      <c r="BQ17" s="7">
        <f t="shared" si="34"/>
        <v>13524.986262719744</v>
      </c>
      <c r="BR17" s="7">
        <f t="shared" si="34"/>
        <v>13524.986262719744</v>
      </c>
      <c r="BS17" s="7">
        <f t="shared" si="34"/>
        <v>13524.986262719744</v>
      </c>
      <c r="BT17" s="7">
        <f t="shared" si="34"/>
        <v>13524.986262719744</v>
      </c>
      <c r="BU17" s="7">
        <f t="shared" si="34"/>
        <v>13524.986262719744</v>
      </c>
      <c r="BV17" s="7">
        <f t="shared" si="34"/>
        <v>13524.986262719744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</row>
    <row r="18" spans="1:92" x14ac:dyDescent="0.25">
      <c r="A18" s="2" t="s">
        <v>17</v>
      </c>
      <c r="B18" s="5" t="e">
        <f>B17/B19</f>
        <v>#DIV/0!</v>
      </c>
      <c r="C18" s="5" t="e">
        <f>C17/C19</f>
        <v>#DIV/0!</v>
      </c>
      <c r="D18" s="5" t="e">
        <f>D17/D19</f>
        <v>#DIV/0!</v>
      </c>
      <c r="E18" s="5" t="e">
        <f>E17/E19</f>
        <v>#DIV/0!</v>
      </c>
      <c r="F18" s="5" t="e">
        <f>F17/F19</f>
        <v>#DIV/0!</v>
      </c>
      <c r="J18" s="5" t="e">
        <f>J17/J19</f>
        <v>#DIV/0!</v>
      </c>
      <c r="K18" s="5" t="e">
        <f>K17/K19</f>
        <v>#DIV/0!</v>
      </c>
      <c r="L18" s="5" t="e">
        <f>L17/L19</f>
        <v>#DIV/0!</v>
      </c>
      <c r="M18" s="5" t="e">
        <f>M17/M19</f>
        <v>#DIV/0!</v>
      </c>
      <c r="N18" s="5">
        <f>N4/N19</f>
        <v>188.94472361809045</v>
      </c>
      <c r="O18" s="5">
        <f>O17/O19</f>
        <v>4.8510482412060378</v>
      </c>
      <c r="P18" s="5">
        <f>P17/P19</f>
        <v>6.3031257768844382</v>
      </c>
      <c r="Q18" s="5">
        <f>Q17/Q19</f>
        <v>7.9656456868534713</v>
      </c>
      <c r="R18" s="5">
        <f>R17/R19</f>
        <v>11.4506007820967</v>
      </c>
      <c r="S18" s="5">
        <f>S17/S19</f>
        <v>13.592951017808787</v>
      </c>
    </row>
    <row r="19" spans="1:92" x14ac:dyDescent="0.25">
      <c r="A19" s="2" t="s">
        <v>1</v>
      </c>
      <c r="N19" s="2">
        <v>995</v>
      </c>
      <c r="O19" s="2">
        <v>995</v>
      </c>
      <c r="P19" s="2">
        <v>995</v>
      </c>
      <c r="Q19" s="2">
        <v>995</v>
      </c>
      <c r="R19" s="2">
        <v>995</v>
      </c>
      <c r="S19" s="2">
        <v>995</v>
      </c>
    </row>
    <row r="21" spans="1:92" x14ac:dyDescent="0.25">
      <c r="A21" s="2" t="s">
        <v>27</v>
      </c>
      <c r="F21" s="3" t="e">
        <f>F4/E4-1</f>
        <v>#DIV/0!</v>
      </c>
      <c r="K21" s="3">
        <f t="shared" ref="K21:S21" si="35">K4/J4-1</f>
        <v>-1</v>
      </c>
      <c r="L21" s="3" t="e">
        <f t="shared" si="35"/>
        <v>#DIV/0!</v>
      </c>
      <c r="M21" s="3">
        <f t="shared" si="35"/>
        <v>9.5541401273885329E-2</v>
      </c>
      <c r="N21" s="3">
        <f t="shared" si="35"/>
        <v>9.3023255813953432E-2</v>
      </c>
      <c r="O21" s="3">
        <f t="shared" si="35"/>
        <v>9.3191489361702295E-2</v>
      </c>
      <c r="P21" s="3">
        <f t="shared" si="35"/>
        <v>7.5235500194628324E-2</v>
      </c>
      <c r="Q21" s="3">
        <f t="shared" si="35"/>
        <v>7.5480255441157329E-2</v>
      </c>
      <c r="R21" s="3">
        <f t="shared" si="35"/>
        <v>7.571341321544911E-2</v>
      </c>
      <c r="S21" s="3">
        <f t="shared" si="35"/>
        <v>7.5935424373697824E-2</v>
      </c>
    </row>
    <row r="22" spans="1:92" x14ac:dyDescent="0.25">
      <c r="A22" s="2" t="s">
        <v>28</v>
      </c>
      <c r="C22" s="2" t="e">
        <f>C4/B4-1</f>
        <v>#DIV/0!</v>
      </c>
      <c r="D22" s="2" t="e">
        <f>D4/C4-1</f>
        <v>#DIV/0!</v>
      </c>
      <c r="E22" s="2" t="e">
        <f>E4/D4-1</f>
        <v>#DIV/0!</v>
      </c>
      <c r="F22" s="2" t="e">
        <f>F4/E4-1</f>
        <v>#DIV/0!</v>
      </c>
    </row>
    <row r="23" spans="1:92" x14ac:dyDescent="0.25">
      <c r="A23" s="7" t="s">
        <v>18</v>
      </c>
      <c r="B23" s="7" t="e">
        <f>B8/B4</f>
        <v>#DIV/0!</v>
      </c>
      <c r="C23" s="7" t="e">
        <f>C8/C4</f>
        <v>#DIV/0!</v>
      </c>
      <c r="D23" s="7" t="e">
        <f>D8/D4</f>
        <v>#DIV/0!</v>
      </c>
      <c r="E23" s="7" t="e">
        <f>E8/E4</f>
        <v>#DIV/0!</v>
      </c>
      <c r="F23" s="7" t="e">
        <f>F8/F4</f>
        <v>#DIV/0!</v>
      </c>
      <c r="H23" s="8">
        <f t="shared" ref="H23:S23" si="36">H8/H4</f>
        <v>9.5852402940516432E-2</v>
      </c>
      <c r="I23" s="8">
        <f t="shared" si="36"/>
        <v>0.10121985898342654</v>
      </c>
      <c r="J23" s="8">
        <f t="shared" si="36"/>
        <v>0.1116218312446422</v>
      </c>
      <c r="K23" s="7" t="e">
        <f t="shared" si="36"/>
        <v>#DIV/0!</v>
      </c>
      <c r="L23" s="8">
        <f t="shared" si="36"/>
        <v>0.13375796178343949</v>
      </c>
      <c r="M23" s="8">
        <f t="shared" si="36"/>
        <v>0.11627906976744186</v>
      </c>
      <c r="N23" s="8">
        <f t="shared" si="36"/>
        <v>0.1276595744680851</v>
      </c>
      <c r="O23" s="8">
        <f t="shared" si="36"/>
        <v>0.13208057609964971</v>
      </c>
      <c r="P23" s="8">
        <f t="shared" si="36"/>
        <v>0.13680299100742871</v>
      </c>
      <c r="Q23" s="8">
        <f t="shared" si="36"/>
        <v>0.14174168951401814</v>
      </c>
      <c r="R23" s="8">
        <f t="shared" si="36"/>
        <v>0.15415604725012585</v>
      </c>
      <c r="S23" s="8">
        <f t="shared" si="36"/>
        <v>0.15891366403046459</v>
      </c>
    </row>
    <row r="24" spans="1:92" x14ac:dyDescent="0.25">
      <c r="A24" s="2" t="s">
        <v>44</v>
      </c>
      <c r="H24" s="3">
        <f t="shared" ref="H24:N25" si="37">(H2-H5)/H2</f>
        <v>9.3118869555413583E-2</v>
      </c>
      <c r="I24" s="3">
        <f t="shared" si="37"/>
        <v>9.8176809538945531E-2</v>
      </c>
      <c r="J24" s="3">
        <f t="shared" si="37"/>
        <v>0.10245415144516117</v>
      </c>
      <c r="K24" s="3" t="e">
        <f t="shared" si="37"/>
        <v>#DIV/0!</v>
      </c>
      <c r="L24" s="3">
        <f t="shared" si="37"/>
        <v>0.11805555555555555</v>
      </c>
      <c r="M24" s="3">
        <f t="shared" si="37"/>
        <v>0.10759493670886076</v>
      </c>
      <c r="N24" s="3">
        <f t="shared" si="37"/>
        <v>0.12209302325581395</v>
      </c>
      <c r="O24" s="3">
        <f>N24*1.04</f>
        <v>0.12697674418604651</v>
      </c>
      <c r="P24" s="3">
        <f t="shared" ref="P24:S24" si="38">O24*1.04</f>
        <v>0.13205581395348837</v>
      </c>
      <c r="Q24" s="3">
        <f t="shared" si="38"/>
        <v>0.1373380465116279</v>
      </c>
      <c r="R24" s="3">
        <f t="shared" si="38"/>
        <v>0.14283156837209302</v>
      </c>
      <c r="S24" s="3">
        <f t="shared" si="38"/>
        <v>0.14854483110697675</v>
      </c>
    </row>
    <row r="25" spans="1:92" x14ac:dyDescent="0.25">
      <c r="A25" s="2" t="s">
        <v>45</v>
      </c>
      <c r="H25" s="3">
        <f t="shared" si="37"/>
        <v>0.12182233647529277</v>
      </c>
      <c r="I25" s="3">
        <f t="shared" si="37"/>
        <v>0.12705882352941175</v>
      </c>
      <c r="J25" s="3">
        <f t="shared" si="37"/>
        <v>0.18375325803649001</v>
      </c>
      <c r="K25" s="3" t="e">
        <f t="shared" si="37"/>
        <v>#DIV/0!</v>
      </c>
      <c r="L25" s="3">
        <f t="shared" si="37"/>
        <v>0.30769230769230771</v>
      </c>
      <c r="M25" s="3">
        <f t="shared" si="37"/>
        <v>0.21428571428571427</v>
      </c>
      <c r="N25" s="3">
        <f t="shared" si="37"/>
        <v>0.1875</v>
      </c>
      <c r="O25" s="3">
        <f>N25*1.02</f>
        <v>0.19125</v>
      </c>
      <c r="P25" s="3">
        <f t="shared" ref="P25:Q25" si="39">O25*1.02</f>
        <v>0.195075</v>
      </c>
      <c r="Q25" s="3">
        <f t="shared" si="39"/>
        <v>0.1989765</v>
      </c>
      <c r="R25" s="3">
        <v>0.31</v>
      </c>
      <c r="S25" s="3">
        <v>0.31</v>
      </c>
    </row>
    <row r="26" spans="1:92" x14ac:dyDescent="0.25">
      <c r="L26" s="3"/>
      <c r="M26" s="3"/>
      <c r="N26" s="3"/>
      <c r="O26" s="3"/>
      <c r="P26" s="3"/>
      <c r="Q26" s="3"/>
      <c r="R26" s="3"/>
      <c r="S26" s="3"/>
    </row>
    <row r="27" spans="1:92" x14ac:dyDescent="0.25">
      <c r="A27" s="2" t="s">
        <v>19</v>
      </c>
      <c r="B27" s="2" t="e">
        <f>B16/B15</f>
        <v>#DIV/0!</v>
      </c>
      <c r="C27" s="2" t="e">
        <f>C16/C15</f>
        <v>#DIV/0!</v>
      </c>
      <c r="D27" s="2" t="e">
        <f>D16/D15</f>
        <v>#DIV/0!</v>
      </c>
      <c r="E27" s="2" t="e">
        <f>E16/E15</f>
        <v>#DIV/0!</v>
      </c>
      <c r="F27" s="2" t="e">
        <f>F16/F15</f>
        <v>#DIV/0!</v>
      </c>
      <c r="H27" s="3">
        <f t="shared" ref="H27:N27" si="40">H16/H15</f>
        <v>5.1499348109517604E-2</v>
      </c>
      <c r="I27" s="3">
        <f t="shared" si="40"/>
        <v>9.4611220472440943E-2</v>
      </c>
      <c r="J27" s="3">
        <f t="shared" si="40"/>
        <v>0.19297291417382792</v>
      </c>
      <c r="K27" s="2" t="e">
        <f t="shared" si="40"/>
        <v>#DIV/0!</v>
      </c>
      <c r="L27" s="3">
        <f t="shared" si="40"/>
        <v>0.38221685777509556</v>
      </c>
      <c r="M27" s="3">
        <f t="shared" si="40"/>
        <v>0.23470243084660519</v>
      </c>
      <c r="N27" s="3">
        <f t="shared" si="40"/>
        <v>0.67244549514053065</v>
      </c>
      <c r="O27" s="3">
        <v>0.15</v>
      </c>
      <c r="P27" s="3">
        <v>0.15</v>
      </c>
      <c r="Q27" s="3">
        <v>0.15</v>
      </c>
      <c r="R27" s="3">
        <v>0.15</v>
      </c>
      <c r="S27" s="3">
        <v>0.15</v>
      </c>
      <c r="U27" s="2" t="s">
        <v>29</v>
      </c>
      <c r="V27" s="6">
        <v>0</v>
      </c>
      <c r="X27" s="2" t="s">
        <v>33</v>
      </c>
      <c r="Y27" s="6">
        <v>4.3270000000000003E-2</v>
      </c>
      <c r="Z27" s="2" t="s">
        <v>6</v>
      </c>
    </row>
    <row r="28" spans="1:92" x14ac:dyDescent="0.25">
      <c r="U28" s="2" t="s">
        <v>30</v>
      </c>
      <c r="V28" s="6">
        <f>SUM(Y27:Y28)</f>
        <v>7.3270000000000002E-2</v>
      </c>
      <c r="X28" s="2" t="s">
        <v>34</v>
      </c>
      <c r="Y28" s="3">
        <v>0.03</v>
      </c>
      <c r="Z28" s="2" t="s">
        <v>6</v>
      </c>
    </row>
    <row r="29" spans="1:92" x14ac:dyDescent="0.25">
      <c r="A29" s="2" t="s">
        <v>20</v>
      </c>
      <c r="N29" s="2">
        <v>23.9</v>
      </c>
      <c r="U29" s="7" t="s">
        <v>31</v>
      </c>
      <c r="V29" s="7">
        <f>NPV(V28,O17:XFD17)+Sheet1!G5-Sheet1!G6</f>
        <v>70401.80643361315</v>
      </c>
    </row>
    <row r="30" spans="1:92" x14ac:dyDescent="0.25">
      <c r="A30" s="2" t="s">
        <v>21</v>
      </c>
      <c r="N30" s="2">
        <v>10.7</v>
      </c>
      <c r="U30" s="2" t="s">
        <v>0</v>
      </c>
      <c r="V30" s="2">
        <f>V29/Sheet1!G3</f>
        <v>70.755584355390098</v>
      </c>
    </row>
    <row r="31" spans="1:92" x14ac:dyDescent="0.25">
      <c r="A31" s="2" t="s">
        <v>22</v>
      </c>
      <c r="B31" s="2">
        <f>B29-B30</f>
        <v>0</v>
      </c>
      <c r="C31" s="2">
        <f t="shared" ref="C31:F31" si="41">C29-C30</f>
        <v>0</v>
      </c>
      <c r="D31" s="2">
        <f t="shared" si="41"/>
        <v>0</v>
      </c>
      <c r="E31" s="2">
        <f t="shared" si="41"/>
        <v>0</v>
      </c>
      <c r="F31" s="2">
        <f t="shared" si="41"/>
        <v>0</v>
      </c>
      <c r="J31" s="2">
        <f t="shared" ref="J31" si="42">J29-J30</f>
        <v>0</v>
      </c>
      <c r="K31" s="2">
        <f t="shared" ref="K31" si="43">K29-K30</f>
        <v>0</v>
      </c>
      <c r="L31" s="2">
        <f t="shared" ref="L31" si="44">L29-L30</f>
        <v>0</v>
      </c>
      <c r="M31" s="2">
        <f t="shared" ref="M31" si="45">M29-M30</f>
        <v>0</v>
      </c>
      <c r="N31" s="2">
        <f t="shared" ref="N31" si="46">N29-N30</f>
        <v>13.2</v>
      </c>
      <c r="O31" s="2">
        <f t="shared" ref="O31" si="47">O29-O30</f>
        <v>0</v>
      </c>
      <c r="P31" s="2">
        <f t="shared" ref="P31" si="48">P29-P30</f>
        <v>0</v>
      </c>
      <c r="Q31" s="2">
        <f t="shared" ref="Q31" si="49">Q29-Q30</f>
        <v>0</v>
      </c>
      <c r="R31" s="2">
        <f t="shared" ref="R31" si="50">R29-R30</f>
        <v>0</v>
      </c>
      <c r="S31" s="2">
        <f t="shared" ref="S31" si="51">S29-S30</f>
        <v>0</v>
      </c>
      <c r="U31" s="2" t="s">
        <v>32</v>
      </c>
      <c r="V31" s="6">
        <f>V30/Sheet1!G2-1</f>
        <v>0.50543796500830007</v>
      </c>
    </row>
    <row r="32" spans="1:92" x14ac:dyDescent="0.25">
      <c r="D32" s="2" t="s">
        <v>39</v>
      </c>
      <c r="J32" s="3"/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13</v>
      </c>
    </row>
    <row r="37" spans="1:1" x14ac:dyDescent="0.25">
      <c r="A37" s="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2025-03-26T15:13:18Z</dcterms:created>
  <dcterms:modified xsi:type="dcterms:W3CDTF">2025-03-28T00:55:45Z</dcterms:modified>
</cp:coreProperties>
</file>