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"/>
    </mc:Choice>
  </mc:AlternateContent>
  <xr:revisionPtr revIDLastSave="0" documentId="13_ncr:1_{2D034143-FB27-4178-B55E-EC480902D509}" xr6:coauthVersionLast="47" xr6:coauthVersionMax="47" xr10:uidLastSave="{00000000-0000-0000-0000-000000000000}"/>
  <bookViews>
    <workbookView xWindow="6960" yWindow="1245" windowWidth="20745" windowHeight="14085" activeTab="1" xr2:uid="{59A50694-CE02-43AA-9A79-230E58E3805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5" i="2" l="1"/>
  <c r="W35" i="2"/>
  <c r="X35" i="2"/>
  <c r="Y35" i="2" s="1"/>
  <c r="U35" i="2"/>
  <c r="W99" i="2"/>
  <c r="X99" i="2"/>
  <c r="Y99" i="2" s="1"/>
  <c r="V99" i="2"/>
  <c r="U29" i="2"/>
  <c r="U82" i="2"/>
  <c r="V82" i="2" s="1"/>
  <c r="W82" i="2" s="1"/>
  <c r="X82" i="2" s="1"/>
  <c r="Y82" i="2" s="1"/>
  <c r="P18" i="2"/>
  <c r="P21" i="2" s="1"/>
  <c r="Q18" i="2"/>
  <c r="Q21" i="2" s="1"/>
  <c r="R18" i="2"/>
  <c r="R44" i="2" s="1"/>
  <c r="S18" i="2"/>
  <c r="S44" i="2" s="1"/>
  <c r="T18" i="2"/>
  <c r="T44" i="2" s="1"/>
  <c r="O18" i="2"/>
  <c r="O21" i="2" s="1"/>
  <c r="C18" i="2"/>
  <c r="D18" i="2"/>
  <c r="E18" i="2"/>
  <c r="E44" i="2" s="1"/>
  <c r="F18" i="2"/>
  <c r="F21" i="2" s="1"/>
  <c r="G18" i="2"/>
  <c r="G21" i="2" s="1"/>
  <c r="H18" i="2"/>
  <c r="I18" i="2"/>
  <c r="B18" i="2"/>
  <c r="N21" i="2"/>
  <c r="I5" i="1"/>
  <c r="V30" i="2"/>
  <c r="W30" i="2" s="1"/>
  <c r="X30" i="2" s="1"/>
  <c r="Y30" i="2" s="1"/>
  <c r="E3" i="2"/>
  <c r="I3" i="2"/>
  <c r="I8" i="2"/>
  <c r="E8" i="2"/>
  <c r="H10" i="2"/>
  <c r="I10" i="2"/>
  <c r="D10" i="2"/>
  <c r="E10" i="2"/>
  <c r="J16" i="2"/>
  <c r="K16" i="2" s="1"/>
  <c r="L16" i="2" s="1"/>
  <c r="M16" i="2" s="1"/>
  <c r="J17" i="2"/>
  <c r="K17" i="2" s="1"/>
  <c r="L17" i="2" s="1"/>
  <c r="M17" i="2" s="1"/>
  <c r="U83" i="2"/>
  <c r="V83" i="2" s="1"/>
  <c r="W83" i="2" s="1"/>
  <c r="X83" i="2" s="1"/>
  <c r="Y83" i="2" s="1"/>
  <c r="U84" i="2"/>
  <c r="V84" i="2" s="1"/>
  <c r="W84" i="2" s="1"/>
  <c r="X84" i="2" s="1"/>
  <c r="Y84" i="2" s="1"/>
  <c r="U85" i="2"/>
  <c r="V85" i="2" s="1"/>
  <c r="W85" i="2" s="1"/>
  <c r="X85" i="2" s="1"/>
  <c r="Y85" i="2" s="1"/>
  <c r="U86" i="2"/>
  <c r="V86" i="2" s="1"/>
  <c r="W86" i="2" s="1"/>
  <c r="X86" i="2" s="1"/>
  <c r="Y86" i="2" s="1"/>
  <c r="U87" i="2"/>
  <c r="V87" i="2" s="1"/>
  <c r="W87" i="2" s="1"/>
  <c r="X87" i="2" s="1"/>
  <c r="Y87" i="2" s="1"/>
  <c r="U88" i="2"/>
  <c r="V88" i="2" s="1"/>
  <c r="W88" i="2" s="1"/>
  <c r="X88" i="2" s="1"/>
  <c r="Y88" i="2" s="1"/>
  <c r="U89" i="2"/>
  <c r="V89" i="2" s="1"/>
  <c r="W89" i="2" s="1"/>
  <c r="X89" i="2" s="1"/>
  <c r="Y89" i="2" s="1"/>
  <c r="U90" i="2"/>
  <c r="V90" i="2" s="1"/>
  <c r="W90" i="2" s="1"/>
  <c r="X90" i="2" s="1"/>
  <c r="Y90" i="2" s="1"/>
  <c r="U91" i="2"/>
  <c r="V91" i="2" s="1"/>
  <c r="W91" i="2" s="1"/>
  <c r="X91" i="2" s="1"/>
  <c r="Y91" i="2" s="1"/>
  <c r="U92" i="2"/>
  <c r="V92" i="2" s="1"/>
  <c r="W92" i="2" s="1"/>
  <c r="X92" i="2" s="1"/>
  <c r="Y92" i="2" s="1"/>
  <c r="U81" i="2"/>
  <c r="V81" i="2" s="1"/>
  <c r="W81" i="2" s="1"/>
  <c r="J19" i="2"/>
  <c r="K19" i="2" s="1"/>
  <c r="L19" i="2" s="1"/>
  <c r="M19" i="2" s="1"/>
  <c r="M6" i="2" s="1"/>
  <c r="J15" i="2"/>
  <c r="K15" i="2" s="1"/>
  <c r="L15" i="2" s="1"/>
  <c r="M15" i="2" s="1"/>
  <c r="J24" i="2"/>
  <c r="K24" i="2" s="1"/>
  <c r="L24" i="2" s="1"/>
  <c r="M24" i="2" s="1"/>
  <c r="J25" i="2"/>
  <c r="K25" i="2" s="1"/>
  <c r="L25" i="2" s="1"/>
  <c r="M25" i="2" s="1"/>
  <c r="J26" i="2"/>
  <c r="K26" i="2" s="1"/>
  <c r="L26" i="2" s="1"/>
  <c r="M26" i="2" s="1"/>
  <c r="S30" i="2"/>
  <c r="T30" i="2"/>
  <c r="J14" i="2"/>
  <c r="F20" i="2"/>
  <c r="B20" i="2"/>
  <c r="T55" i="2"/>
  <c r="O26" i="2"/>
  <c r="O27" i="2" s="1"/>
  <c r="O53" i="2"/>
  <c r="P27" i="2"/>
  <c r="C100" i="2"/>
  <c r="D100" i="2"/>
  <c r="E100" i="2"/>
  <c r="F100" i="2"/>
  <c r="G100" i="2"/>
  <c r="H100" i="2"/>
  <c r="I100" i="2"/>
  <c r="J100" i="2"/>
  <c r="K100" i="2"/>
  <c r="B100" i="2"/>
  <c r="G20" i="2"/>
  <c r="C20" i="2"/>
  <c r="D20" i="2"/>
  <c r="H20" i="2"/>
  <c r="H35" i="2"/>
  <c r="T96" i="2"/>
  <c r="S96" i="2"/>
  <c r="R96" i="2"/>
  <c r="T95" i="2"/>
  <c r="S95" i="2"/>
  <c r="R95" i="2"/>
  <c r="S93" i="2"/>
  <c r="T93" i="2"/>
  <c r="R93" i="2"/>
  <c r="J18" i="2" l="1"/>
  <c r="J44" i="2" s="1"/>
  <c r="I44" i="2"/>
  <c r="B21" i="2"/>
  <c r="Q44" i="2"/>
  <c r="P44" i="2"/>
  <c r="H44" i="2"/>
  <c r="D44" i="2"/>
  <c r="C21" i="2"/>
  <c r="G44" i="2"/>
  <c r="F44" i="2"/>
  <c r="C44" i="2"/>
  <c r="X81" i="2"/>
  <c r="D21" i="2"/>
  <c r="H21" i="2"/>
  <c r="J6" i="2"/>
  <c r="L6" i="2"/>
  <c r="K6" i="2"/>
  <c r="K14" i="2"/>
  <c r="L45" i="2"/>
  <c r="M45" i="2"/>
  <c r="U19" i="2"/>
  <c r="V19" i="2" s="1"/>
  <c r="W19" i="2" s="1"/>
  <c r="X19" i="2" s="1"/>
  <c r="Y19" i="2" s="1"/>
  <c r="L27" i="2"/>
  <c r="S99" i="2"/>
  <c r="O23" i="2"/>
  <c r="O40" i="2" s="1"/>
  <c r="T99" i="2"/>
  <c r="T100" i="2" s="1"/>
  <c r="T101" i="2" s="1"/>
  <c r="R99" i="2"/>
  <c r="R100" i="2" s="1"/>
  <c r="R101" i="2" s="1"/>
  <c r="I72" i="2"/>
  <c r="I73" i="2" s="1"/>
  <c r="I62" i="2"/>
  <c r="I55" i="2"/>
  <c r="T72" i="2"/>
  <c r="T73" i="2" s="1"/>
  <c r="S72" i="2"/>
  <c r="S73" i="2" s="1"/>
  <c r="T62" i="2"/>
  <c r="S62" i="2"/>
  <c r="S55" i="2"/>
  <c r="S53" i="2" s="1"/>
  <c r="S100" i="2" l="1"/>
  <c r="S101" i="2" s="1"/>
  <c r="Y81" i="2"/>
  <c r="L14" i="2"/>
  <c r="K18" i="2"/>
  <c r="K44" i="2" s="1"/>
  <c r="U15" i="2"/>
  <c r="V15" i="2" s="1"/>
  <c r="W15" i="2" s="1"/>
  <c r="X15" i="2" s="1"/>
  <c r="Y15" i="2" s="1"/>
  <c r="M27" i="2"/>
  <c r="U17" i="2"/>
  <c r="V17" i="2" s="1"/>
  <c r="W17" i="2" s="1"/>
  <c r="X17" i="2" s="1"/>
  <c r="Y17" i="2" s="1"/>
  <c r="U16" i="2"/>
  <c r="V16" i="2" s="1"/>
  <c r="W16" i="2" s="1"/>
  <c r="X16" i="2" s="1"/>
  <c r="Y16" i="2" s="1"/>
  <c r="O46" i="2"/>
  <c r="O28" i="2"/>
  <c r="O31" i="2" s="1"/>
  <c r="P23" i="2"/>
  <c r="P37" i="2"/>
  <c r="P46" i="2"/>
  <c r="I63" i="2"/>
  <c r="I74" i="2" s="1"/>
  <c r="I75" i="2" s="1"/>
  <c r="S63" i="2"/>
  <c r="S74" i="2" s="1"/>
  <c r="S75" i="2" s="1"/>
  <c r="T63" i="2"/>
  <c r="T74" i="2" s="1"/>
  <c r="C53" i="2"/>
  <c r="D53" i="2"/>
  <c r="E53" i="2"/>
  <c r="F53" i="2"/>
  <c r="G53" i="2"/>
  <c r="H53" i="2"/>
  <c r="I53" i="2"/>
  <c r="B53" i="2"/>
  <c r="Q53" i="2"/>
  <c r="R53" i="2"/>
  <c r="P53" i="2"/>
  <c r="T53" i="2"/>
  <c r="M14" i="2" l="1"/>
  <c r="L18" i="2"/>
  <c r="L44" i="2" s="1"/>
  <c r="O41" i="2"/>
  <c r="T75" i="2"/>
  <c r="O42" i="2"/>
  <c r="O33" i="2"/>
  <c r="P40" i="2"/>
  <c r="P28" i="2"/>
  <c r="I20" i="2"/>
  <c r="I21" i="2" s="1"/>
  <c r="E20" i="2"/>
  <c r="C27" i="2"/>
  <c r="D27" i="2"/>
  <c r="E27" i="2"/>
  <c r="F27" i="2"/>
  <c r="G27" i="2"/>
  <c r="H27" i="2"/>
  <c r="I27" i="2"/>
  <c r="J27" i="2"/>
  <c r="K27" i="2"/>
  <c r="D45" i="2"/>
  <c r="E45" i="2"/>
  <c r="F45" i="2"/>
  <c r="G45" i="2"/>
  <c r="H45" i="2"/>
  <c r="I45" i="2"/>
  <c r="J45" i="2"/>
  <c r="K45" i="2"/>
  <c r="C45" i="2"/>
  <c r="B27" i="2"/>
  <c r="E2" i="2"/>
  <c r="T45" i="2"/>
  <c r="S45" i="2"/>
  <c r="T20" i="2"/>
  <c r="T21" i="2" s="1"/>
  <c r="S20" i="2"/>
  <c r="S21" i="2" s="1"/>
  <c r="R20" i="2"/>
  <c r="R21" i="2" s="1"/>
  <c r="Q27" i="2"/>
  <c r="T27" i="2"/>
  <c r="S27" i="2"/>
  <c r="R27" i="2"/>
  <c r="I2" i="2"/>
  <c r="Q1" i="2"/>
  <c r="R1" i="2" s="1"/>
  <c r="S1" i="2" s="1"/>
  <c r="T1" i="2" s="1"/>
  <c r="U1" i="2" s="1"/>
  <c r="V1" i="2" s="1"/>
  <c r="W1" i="2" s="1"/>
  <c r="X1" i="2" s="1"/>
  <c r="Y1" i="2" s="1"/>
  <c r="I4" i="1"/>
  <c r="I7" i="1" s="1"/>
  <c r="M18" i="2" l="1"/>
  <c r="M44" i="2" s="1"/>
  <c r="U14" i="2"/>
  <c r="V14" i="2" s="1"/>
  <c r="W14" i="2" s="1"/>
  <c r="X14" i="2" s="1"/>
  <c r="Y14" i="2" s="1"/>
  <c r="E4" i="2"/>
  <c r="E21" i="2"/>
  <c r="J20" i="2"/>
  <c r="J21" i="2" s="1"/>
  <c r="I4" i="2"/>
  <c r="G23" i="2"/>
  <c r="K20" i="2"/>
  <c r="D23" i="2"/>
  <c r="D40" i="2" s="1"/>
  <c r="C23" i="2"/>
  <c r="O39" i="2"/>
  <c r="P31" i="2"/>
  <c r="P41" i="2"/>
  <c r="Q23" i="2"/>
  <c r="Q40" i="2" s="1"/>
  <c r="S77" i="2"/>
  <c r="G37" i="2"/>
  <c r="H37" i="2"/>
  <c r="H23" i="2"/>
  <c r="U45" i="2"/>
  <c r="V45" i="2"/>
  <c r="R77" i="2"/>
  <c r="U18" i="2" l="1"/>
  <c r="U44" i="2" s="1"/>
  <c r="L20" i="2"/>
  <c r="L21" i="2" s="1"/>
  <c r="K21" i="2"/>
  <c r="K77" i="2" s="1"/>
  <c r="F37" i="2"/>
  <c r="K37" i="2"/>
  <c r="K38" i="2"/>
  <c r="B77" i="2"/>
  <c r="B46" i="2"/>
  <c r="I38" i="2"/>
  <c r="I46" i="2"/>
  <c r="B23" i="2"/>
  <c r="B40" i="2" s="1"/>
  <c r="G77" i="2"/>
  <c r="G46" i="2"/>
  <c r="C77" i="2"/>
  <c r="C46" i="2"/>
  <c r="F38" i="2"/>
  <c r="E46" i="2"/>
  <c r="E77" i="2"/>
  <c r="F77" i="2"/>
  <c r="F46" i="2"/>
  <c r="C38" i="2"/>
  <c r="D46" i="2"/>
  <c r="D77" i="2"/>
  <c r="F23" i="2"/>
  <c r="F40" i="2" s="1"/>
  <c r="M20" i="2"/>
  <c r="M21" i="2" s="1"/>
  <c r="G38" i="2"/>
  <c r="D38" i="2"/>
  <c r="H38" i="2"/>
  <c r="H46" i="2"/>
  <c r="H77" i="2"/>
  <c r="J46" i="2"/>
  <c r="J77" i="2"/>
  <c r="J37" i="2"/>
  <c r="D28" i="2"/>
  <c r="D31" i="2" s="1"/>
  <c r="P33" i="2"/>
  <c r="P42" i="2"/>
  <c r="Q28" i="2"/>
  <c r="Q41" i="2" s="1"/>
  <c r="Q77" i="2"/>
  <c r="Q46" i="2"/>
  <c r="Q37" i="2"/>
  <c r="E23" i="2"/>
  <c r="E38" i="2"/>
  <c r="G28" i="2"/>
  <c r="G40" i="2"/>
  <c r="J38" i="2"/>
  <c r="J22" i="2" s="1"/>
  <c r="C28" i="2"/>
  <c r="C40" i="2"/>
  <c r="H28" i="2"/>
  <c r="H40" i="2"/>
  <c r="I37" i="2"/>
  <c r="I77" i="2"/>
  <c r="T23" i="2"/>
  <c r="T40" i="2" s="1"/>
  <c r="T77" i="2"/>
  <c r="T37" i="2"/>
  <c r="T46" i="2"/>
  <c r="I23" i="2"/>
  <c r="S23" i="2"/>
  <c r="S46" i="2"/>
  <c r="R23" i="2"/>
  <c r="R40" i="2" s="1"/>
  <c r="R46" i="2"/>
  <c r="W45" i="2"/>
  <c r="S37" i="2"/>
  <c r="R37" i="2"/>
  <c r="X45" i="2"/>
  <c r="K46" i="2" l="1"/>
  <c r="V18" i="2"/>
  <c r="V44" i="2" s="1"/>
  <c r="B28" i="2"/>
  <c r="B31" i="2" s="1"/>
  <c r="B33" i="2" s="1"/>
  <c r="B39" i="2" s="1"/>
  <c r="F28" i="2"/>
  <c r="F31" i="2" s="1"/>
  <c r="F33" i="2" s="1"/>
  <c r="U20" i="2"/>
  <c r="L77" i="2"/>
  <c r="L46" i="2"/>
  <c r="L37" i="2"/>
  <c r="L38" i="2"/>
  <c r="F41" i="2"/>
  <c r="K22" i="2"/>
  <c r="J23" i="2"/>
  <c r="D41" i="2"/>
  <c r="B42" i="2"/>
  <c r="T28" i="2"/>
  <c r="T31" i="2" s="1"/>
  <c r="T33" i="2" s="1"/>
  <c r="T34" i="2" s="1"/>
  <c r="Q31" i="2"/>
  <c r="Q42" i="2" s="1"/>
  <c r="P39" i="2"/>
  <c r="H31" i="2"/>
  <c r="H41" i="2"/>
  <c r="F42" i="2"/>
  <c r="C31" i="2"/>
  <c r="C41" i="2"/>
  <c r="I28" i="2"/>
  <c r="I40" i="2"/>
  <c r="G31" i="2"/>
  <c r="G41" i="2"/>
  <c r="E28" i="2"/>
  <c r="E40" i="2"/>
  <c r="D33" i="2"/>
  <c r="D42" i="2"/>
  <c r="R28" i="2"/>
  <c r="R41" i="2" s="1"/>
  <c r="S40" i="2"/>
  <c r="S28" i="2"/>
  <c r="U21" i="2" l="1"/>
  <c r="V20" i="2"/>
  <c r="W20" i="2" s="1"/>
  <c r="X20" i="2" s="1"/>
  <c r="Y20" i="2" s="1"/>
  <c r="B79" i="2"/>
  <c r="B34" i="2"/>
  <c r="W18" i="2"/>
  <c r="W44" i="2" s="1"/>
  <c r="B41" i="2"/>
  <c r="T42" i="2"/>
  <c r="Q33" i="2"/>
  <c r="T41" i="2"/>
  <c r="V21" i="2"/>
  <c r="M46" i="2"/>
  <c r="M77" i="2"/>
  <c r="M37" i="2"/>
  <c r="M38" i="2"/>
  <c r="L22" i="2"/>
  <c r="K23" i="2"/>
  <c r="J40" i="2"/>
  <c r="J28" i="2"/>
  <c r="F39" i="2"/>
  <c r="F34" i="2"/>
  <c r="F79" i="2"/>
  <c r="D39" i="2"/>
  <c r="D34" i="2"/>
  <c r="D79" i="2"/>
  <c r="Q39" i="2"/>
  <c r="G33" i="2"/>
  <c r="G34" i="2" s="1"/>
  <c r="G42" i="2"/>
  <c r="I31" i="2"/>
  <c r="I41" i="2"/>
  <c r="C33" i="2"/>
  <c r="C34" i="2" s="1"/>
  <c r="C42" i="2"/>
  <c r="E31" i="2"/>
  <c r="E41" i="2"/>
  <c r="H33" i="2"/>
  <c r="H42" i="2"/>
  <c r="R31" i="2"/>
  <c r="R42" i="2" s="1"/>
  <c r="T39" i="2"/>
  <c r="T79" i="2"/>
  <c r="S31" i="2"/>
  <c r="S41" i="2"/>
  <c r="Y45" i="2"/>
  <c r="Y18" i="2" l="1"/>
  <c r="X18" i="2"/>
  <c r="X44" i="2" s="1"/>
  <c r="U77" i="2"/>
  <c r="U37" i="2"/>
  <c r="U46" i="2"/>
  <c r="W21" i="2"/>
  <c r="J41" i="2"/>
  <c r="J31" i="2"/>
  <c r="K40" i="2"/>
  <c r="K28" i="2"/>
  <c r="K41" i="2" s="1"/>
  <c r="M22" i="2"/>
  <c r="L23" i="2"/>
  <c r="H39" i="2"/>
  <c r="H34" i="2"/>
  <c r="H79" i="2"/>
  <c r="G39" i="2"/>
  <c r="G79" i="2"/>
  <c r="C39" i="2"/>
  <c r="C79" i="2"/>
  <c r="E33" i="2"/>
  <c r="E42" i="2"/>
  <c r="R33" i="2"/>
  <c r="I33" i="2"/>
  <c r="I42" i="2"/>
  <c r="R39" i="2"/>
  <c r="S42" i="2"/>
  <c r="S33" i="2"/>
  <c r="Y44" i="2" l="1"/>
  <c r="V77" i="2"/>
  <c r="V46" i="2"/>
  <c r="V37" i="2"/>
  <c r="X21" i="2"/>
  <c r="U26" i="2"/>
  <c r="U25" i="2"/>
  <c r="U24" i="2"/>
  <c r="L28" i="2"/>
  <c r="L41" i="2" s="1"/>
  <c r="L40" i="2"/>
  <c r="M23" i="2"/>
  <c r="U22" i="2"/>
  <c r="I39" i="2"/>
  <c r="I34" i="2"/>
  <c r="I79" i="2"/>
  <c r="E39" i="2"/>
  <c r="E34" i="2"/>
  <c r="E79" i="2"/>
  <c r="R79" i="2"/>
  <c r="S39" i="2"/>
  <c r="S79" i="2"/>
  <c r="V26" i="2" l="1"/>
  <c r="V25" i="2"/>
  <c r="W77" i="2"/>
  <c r="W46" i="2"/>
  <c r="W37" i="2"/>
  <c r="U27" i="2"/>
  <c r="V24" i="2"/>
  <c r="M28" i="2"/>
  <c r="M41" i="2" s="1"/>
  <c r="M40" i="2"/>
  <c r="W24" i="2" l="1"/>
  <c r="Y21" i="2"/>
  <c r="Y37" i="2"/>
  <c r="X77" i="2"/>
  <c r="X46" i="2"/>
  <c r="X37" i="2"/>
  <c r="X24" i="2" s="1"/>
  <c r="W25" i="2"/>
  <c r="X25" i="2" s="1"/>
  <c r="Y25" i="2" s="1"/>
  <c r="W26" i="2"/>
  <c r="X26" i="2" s="1"/>
  <c r="Y26" i="2" s="1"/>
  <c r="Y24" i="2"/>
  <c r="J32" i="2"/>
  <c r="J33" i="2" s="1"/>
  <c r="Y46" i="2" l="1"/>
  <c r="Y77" i="2"/>
  <c r="J53" i="2"/>
  <c r="J79" i="2"/>
  <c r="J34" i="2"/>
  <c r="J39" i="2"/>
  <c r="K31" i="2" l="1"/>
  <c r="K32" i="2" s="1"/>
  <c r="K33" i="2" l="1"/>
  <c r="K34" i="2" l="1"/>
  <c r="K39" i="2"/>
  <c r="K79" i="2"/>
  <c r="K53" i="2"/>
  <c r="L31" i="2" l="1"/>
  <c r="L32" i="2" s="1"/>
  <c r="L33" i="2" l="1"/>
  <c r="L39" i="2" l="1"/>
  <c r="L34" i="2"/>
  <c r="L53" i="2"/>
  <c r="M31" i="2" l="1"/>
  <c r="M32" i="2" s="1"/>
  <c r="M33" i="2" l="1"/>
  <c r="M34" i="2" l="1"/>
  <c r="M39" i="2"/>
  <c r="M53" i="2"/>
  <c r="X27" i="2"/>
  <c r="W27" i="2"/>
  <c r="V27" i="2"/>
  <c r="Y27" i="2"/>
  <c r="V22" i="2"/>
  <c r="V23" i="2" s="1"/>
  <c r="U23" i="2"/>
  <c r="U28" i="2" s="1"/>
  <c r="U31" i="2" s="1"/>
  <c r="V28" i="2" l="1"/>
  <c r="V41" i="2" s="1"/>
  <c r="U41" i="2"/>
  <c r="U32" i="2"/>
  <c r="U33" i="2" l="1"/>
  <c r="U34" i="2" s="1"/>
  <c r="W22" i="2"/>
  <c r="W23" i="2" s="1"/>
  <c r="W28" i="2" s="1"/>
  <c r="U79" i="2" l="1"/>
  <c r="U39" i="2"/>
  <c r="U53" i="2"/>
  <c r="V29" i="2" s="1"/>
  <c r="U80" i="2"/>
  <c r="U93" i="2" s="1"/>
  <c r="U100" i="2" s="1"/>
  <c r="U101" i="2" s="1"/>
  <c r="V31" i="2"/>
  <c r="W41" i="2"/>
  <c r="Y22" i="2"/>
  <c r="Y23" i="2" s="1"/>
  <c r="Y28" i="2" s="1"/>
  <c r="X22" i="2"/>
  <c r="X23" i="2" s="1"/>
  <c r="X28" i="2" s="1"/>
  <c r="X41" i="2" l="1"/>
  <c r="Y41" i="2"/>
  <c r="V32" i="2"/>
  <c r="V33" i="2" l="1"/>
  <c r="V34" i="2" l="1"/>
  <c r="V53" i="2"/>
  <c r="W29" i="2" s="1"/>
  <c r="V79" i="2"/>
  <c r="V80" i="2" s="1"/>
  <c r="V93" i="2" s="1"/>
  <c r="V100" i="2" s="1"/>
  <c r="V101" i="2" s="1"/>
  <c r="V39" i="2"/>
  <c r="W31" i="2"/>
  <c r="W32" i="2" l="1"/>
  <c r="W33" i="2" l="1"/>
  <c r="W79" i="2" s="1"/>
  <c r="W80" i="2" s="1"/>
  <c r="W93" i="2" s="1"/>
  <c r="W100" i="2" s="1"/>
  <c r="W101" i="2" s="1"/>
  <c r="W34" i="2"/>
  <c r="W53" i="2"/>
  <c r="X29" i="2" s="1"/>
  <c r="W39" i="2" l="1"/>
  <c r="X31" i="2"/>
  <c r="X32" i="2" l="1"/>
  <c r="X33" i="2" l="1"/>
  <c r="X34" i="2" s="1"/>
  <c r="X53" i="2" l="1"/>
  <c r="Y29" i="2" s="1"/>
  <c r="Y31" i="2" s="1"/>
  <c r="X79" i="2"/>
  <c r="X80" i="2" s="1"/>
  <c r="X93" i="2" s="1"/>
  <c r="X100" i="2" s="1"/>
  <c r="X101" i="2" s="1"/>
  <c r="X39" i="2"/>
  <c r="Y32" i="2" l="1"/>
  <c r="Y33" i="2" l="1"/>
  <c r="Z33" i="2" s="1"/>
  <c r="AA33" i="2" s="1"/>
  <c r="AB33" i="2" s="1"/>
  <c r="AC33" i="2" s="1"/>
  <c r="AD33" i="2" s="1"/>
  <c r="AE33" i="2" s="1"/>
  <c r="AF33" i="2" s="1"/>
  <c r="AG33" i="2" s="1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P33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G33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CV33" i="2" s="1"/>
  <c r="CW33" i="2" s="1"/>
  <c r="CX33" i="2" s="1"/>
  <c r="CY33" i="2" s="1"/>
  <c r="CZ33" i="2" s="1"/>
  <c r="DA33" i="2" s="1"/>
  <c r="DB33" i="2" s="1"/>
  <c r="DC33" i="2" s="1"/>
  <c r="DD33" i="2" s="1"/>
  <c r="DE33" i="2" s="1"/>
  <c r="DF33" i="2" s="1"/>
  <c r="DG33" i="2" s="1"/>
  <c r="DH33" i="2" s="1"/>
  <c r="DI33" i="2" s="1"/>
  <c r="DJ33" i="2" s="1"/>
  <c r="DK33" i="2" s="1"/>
  <c r="DL33" i="2" s="1"/>
  <c r="DM33" i="2" s="1"/>
  <c r="DN33" i="2" s="1"/>
  <c r="DO33" i="2" s="1"/>
  <c r="DP33" i="2" s="1"/>
  <c r="DQ33" i="2" s="1"/>
  <c r="DR33" i="2" s="1"/>
  <c r="DS33" i="2" s="1"/>
  <c r="DT33" i="2" s="1"/>
  <c r="DU33" i="2" s="1"/>
  <c r="DV33" i="2" s="1"/>
  <c r="DW33" i="2" s="1"/>
  <c r="DX33" i="2" s="1"/>
  <c r="DY33" i="2" s="1"/>
  <c r="DZ33" i="2" s="1"/>
  <c r="EA33" i="2" s="1"/>
  <c r="EB33" i="2" s="1"/>
  <c r="EC33" i="2" s="1"/>
  <c r="ED33" i="2" s="1"/>
  <c r="EE33" i="2" s="1"/>
  <c r="EF33" i="2" s="1"/>
  <c r="EG33" i="2" s="1"/>
  <c r="EH33" i="2" s="1"/>
  <c r="EI33" i="2" s="1"/>
  <c r="EJ33" i="2" s="1"/>
  <c r="EK33" i="2" s="1"/>
  <c r="EL33" i="2" s="1"/>
  <c r="EM33" i="2" s="1"/>
  <c r="EN33" i="2" s="1"/>
  <c r="EO33" i="2" s="1"/>
  <c r="EP33" i="2" s="1"/>
  <c r="EQ33" i="2" s="1"/>
  <c r="ER33" i="2" s="1"/>
  <c r="ES33" i="2" s="1"/>
  <c r="ET33" i="2" s="1"/>
  <c r="EU33" i="2" s="1"/>
  <c r="EV33" i="2" s="1"/>
  <c r="EW33" i="2" s="1"/>
  <c r="EX33" i="2" s="1"/>
  <c r="EY33" i="2" s="1"/>
  <c r="EZ33" i="2" s="1"/>
  <c r="FA33" i="2" s="1"/>
  <c r="FB33" i="2" s="1"/>
  <c r="FC33" i="2" s="1"/>
  <c r="FD33" i="2" s="1"/>
  <c r="FE33" i="2" s="1"/>
  <c r="FF33" i="2" s="1"/>
  <c r="FG33" i="2" s="1"/>
  <c r="FH33" i="2" s="1"/>
  <c r="FI33" i="2" s="1"/>
  <c r="FJ33" i="2" s="1"/>
  <c r="FK33" i="2" s="1"/>
  <c r="FL33" i="2" s="1"/>
  <c r="FM33" i="2" s="1"/>
  <c r="FN33" i="2" s="1"/>
  <c r="FO33" i="2" s="1"/>
  <c r="FP33" i="2" s="1"/>
  <c r="FQ33" i="2" s="1"/>
  <c r="FR33" i="2" s="1"/>
  <c r="FS33" i="2" s="1"/>
  <c r="FT33" i="2" s="1"/>
  <c r="FU33" i="2" s="1"/>
  <c r="FV33" i="2" s="1"/>
  <c r="FW33" i="2" s="1"/>
  <c r="FX33" i="2" s="1"/>
  <c r="FY33" i="2" s="1"/>
  <c r="FZ33" i="2" s="1"/>
  <c r="GA33" i="2" s="1"/>
  <c r="GB33" i="2" s="1"/>
  <c r="GC33" i="2" s="1"/>
  <c r="GD33" i="2" s="1"/>
  <c r="GE33" i="2" s="1"/>
  <c r="GF33" i="2" s="1"/>
  <c r="GG33" i="2" s="1"/>
  <c r="GH33" i="2" s="1"/>
  <c r="GI33" i="2" s="1"/>
  <c r="GJ33" i="2" s="1"/>
  <c r="GK33" i="2" s="1"/>
  <c r="GL33" i="2" s="1"/>
  <c r="GM33" i="2" s="1"/>
  <c r="GN33" i="2" s="1"/>
  <c r="GO33" i="2" s="1"/>
  <c r="GP33" i="2" s="1"/>
  <c r="GQ33" i="2" s="1"/>
  <c r="GR33" i="2" s="1"/>
  <c r="GS33" i="2" s="1"/>
  <c r="GT33" i="2" s="1"/>
  <c r="GU33" i="2" s="1"/>
  <c r="GV33" i="2" s="1"/>
  <c r="GW33" i="2" s="1"/>
  <c r="GX33" i="2" s="1"/>
  <c r="GY33" i="2" s="1"/>
  <c r="GZ33" i="2" s="1"/>
  <c r="HA33" i="2" s="1"/>
  <c r="HB33" i="2" s="1"/>
  <c r="HC33" i="2" s="1"/>
  <c r="HD33" i="2" s="1"/>
  <c r="HE33" i="2" s="1"/>
  <c r="HF33" i="2" s="1"/>
  <c r="HG33" i="2" s="1"/>
  <c r="HH33" i="2" s="1"/>
  <c r="HI33" i="2" s="1"/>
  <c r="HJ33" i="2" s="1"/>
  <c r="HK33" i="2" s="1"/>
  <c r="Y34" i="2"/>
  <c r="Y79" i="2"/>
  <c r="Y80" i="2" s="1"/>
  <c r="Y93" i="2" s="1"/>
  <c r="Y100" i="2" s="1"/>
  <c r="Y53" i="2"/>
  <c r="Z100" i="2" l="1"/>
  <c r="AA100" i="2" s="1"/>
  <c r="AB100" i="2" s="1"/>
  <c r="AC100" i="2" s="1"/>
  <c r="AD100" i="2" s="1"/>
  <c r="AE100" i="2" s="1"/>
  <c r="AF100" i="2" s="1"/>
  <c r="AG100" i="2" s="1"/>
  <c r="AH100" i="2" s="1"/>
  <c r="AI100" i="2" s="1"/>
  <c r="AJ100" i="2" s="1"/>
  <c r="AK100" i="2" s="1"/>
  <c r="AL100" i="2" s="1"/>
  <c r="AM100" i="2" s="1"/>
  <c r="AN100" i="2" s="1"/>
  <c r="AO100" i="2" s="1"/>
  <c r="AP100" i="2" s="1"/>
  <c r="AQ100" i="2" s="1"/>
  <c r="AR100" i="2" s="1"/>
  <c r="AS100" i="2" s="1"/>
  <c r="AT100" i="2" s="1"/>
  <c r="AU100" i="2" s="1"/>
  <c r="AV100" i="2" s="1"/>
  <c r="AW100" i="2" s="1"/>
  <c r="AX100" i="2" s="1"/>
  <c r="AY100" i="2" s="1"/>
  <c r="AZ100" i="2" s="1"/>
  <c r="BA100" i="2" s="1"/>
  <c r="BB100" i="2" s="1"/>
  <c r="BC100" i="2" s="1"/>
  <c r="BD100" i="2" s="1"/>
  <c r="BE100" i="2" s="1"/>
  <c r="BF100" i="2" s="1"/>
  <c r="BG100" i="2" s="1"/>
  <c r="BH100" i="2" s="1"/>
  <c r="BI100" i="2" s="1"/>
  <c r="BJ100" i="2" s="1"/>
  <c r="BK100" i="2" s="1"/>
  <c r="BL100" i="2" s="1"/>
  <c r="BM100" i="2" s="1"/>
  <c r="BN100" i="2" s="1"/>
  <c r="BO100" i="2" s="1"/>
  <c r="BP100" i="2" s="1"/>
  <c r="BQ100" i="2" s="1"/>
  <c r="BR100" i="2" s="1"/>
  <c r="BS100" i="2" s="1"/>
  <c r="BT100" i="2" s="1"/>
  <c r="BU100" i="2" s="1"/>
  <c r="BV100" i="2" s="1"/>
  <c r="BW100" i="2" s="1"/>
  <c r="BX100" i="2" s="1"/>
  <c r="BY100" i="2" s="1"/>
  <c r="BZ100" i="2" s="1"/>
  <c r="CA100" i="2" s="1"/>
  <c r="CB100" i="2" s="1"/>
  <c r="CC100" i="2" s="1"/>
  <c r="CD100" i="2" s="1"/>
  <c r="CE100" i="2" s="1"/>
  <c r="CF100" i="2" s="1"/>
  <c r="CG100" i="2" s="1"/>
  <c r="CH100" i="2" s="1"/>
  <c r="CI100" i="2" s="1"/>
  <c r="CJ100" i="2" s="1"/>
  <c r="CK100" i="2" s="1"/>
  <c r="CL100" i="2" s="1"/>
  <c r="CM100" i="2" s="1"/>
  <c r="CN100" i="2" s="1"/>
  <c r="CO100" i="2" s="1"/>
  <c r="CP100" i="2" s="1"/>
  <c r="CQ100" i="2" s="1"/>
  <c r="CR100" i="2" s="1"/>
  <c r="CS100" i="2" s="1"/>
  <c r="CT100" i="2" s="1"/>
  <c r="CU100" i="2" s="1"/>
  <c r="CV100" i="2" s="1"/>
  <c r="CW100" i="2" s="1"/>
  <c r="CX100" i="2" s="1"/>
  <c r="CY100" i="2" s="1"/>
  <c r="CZ100" i="2" s="1"/>
  <c r="DA100" i="2" s="1"/>
  <c r="DB100" i="2" s="1"/>
  <c r="DC100" i="2" s="1"/>
  <c r="DD100" i="2" s="1"/>
  <c r="DE100" i="2" s="1"/>
  <c r="DF100" i="2" s="1"/>
  <c r="DG100" i="2" s="1"/>
  <c r="DH100" i="2" s="1"/>
  <c r="DI100" i="2" s="1"/>
  <c r="DJ100" i="2" s="1"/>
  <c r="DK100" i="2" s="1"/>
  <c r="DL100" i="2" s="1"/>
  <c r="DM100" i="2" s="1"/>
  <c r="DN100" i="2" s="1"/>
  <c r="DO100" i="2" s="1"/>
  <c r="DP100" i="2" s="1"/>
  <c r="DQ100" i="2" s="1"/>
  <c r="DR100" i="2" s="1"/>
  <c r="DS100" i="2" s="1"/>
  <c r="DT100" i="2" s="1"/>
  <c r="DU100" i="2" s="1"/>
  <c r="DV100" i="2" s="1"/>
  <c r="DW100" i="2" s="1"/>
  <c r="DX100" i="2" s="1"/>
  <c r="DY100" i="2" s="1"/>
  <c r="DZ100" i="2" s="1"/>
  <c r="EA100" i="2" s="1"/>
  <c r="EB100" i="2" s="1"/>
  <c r="EC100" i="2" s="1"/>
  <c r="ED100" i="2" s="1"/>
  <c r="EE100" i="2" s="1"/>
  <c r="EF100" i="2" s="1"/>
  <c r="EG100" i="2" s="1"/>
  <c r="EH100" i="2" s="1"/>
  <c r="EI100" i="2" s="1"/>
  <c r="EJ100" i="2" s="1"/>
  <c r="EK100" i="2" s="1"/>
  <c r="EL100" i="2" s="1"/>
  <c r="EM100" i="2" s="1"/>
  <c r="EN100" i="2" s="1"/>
  <c r="EO100" i="2" s="1"/>
  <c r="EP100" i="2" s="1"/>
  <c r="EQ100" i="2" s="1"/>
  <c r="ER100" i="2" s="1"/>
  <c r="ES100" i="2" s="1"/>
  <c r="ET100" i="2" s="1"/>
  <c r="EU100" i="2" s="1"/>
  <c r="EV100" i="2" s="1"/>
  <c r="EW100" i="2" s="1"/>
  <c r="EX100" i="2" s="1"/>
  <c r="EY100" i="2" s="1"/>
  <c r="EZ100" i="2" s="1"/>
  <c r="FA100" i="2" s="1"/>
  <c r="FB100" i="2" s="1"/>
  <c r="FC100" i="2" s="1"/>
  <c r="FD100" i="2" s="1"/>
  <c r="FE100" i="2" s="1"/>
  <c r="FF100" i="2" s="1"/>
  <c r="AB96" i="2" s="1"/>
  <c r="AB97" i="2" s="1"/>
  <c r="AB98" i="2" s="1"/>
  <c r="Y101" i="2"/>
  <c r="Y39" i="2"/>
</calcChain>
</file>

<file path=xl/sharedStrings.xml><?xml version="1.0" encoding="utf-8"?>
<sst xmlns="http://schemas.openxmlformats.org/spreadsheetml/2006/main" count="124" uniqueCount="110">
  <si>
    <t>GOOGL</t>
  </si>
  <si>
    <t>Price</t>
  </si>
  <si>
    <t>Shares</t>
  </si>
  <si>
    <t>MC</t>
  </si>
  <si>
    <t>Cash</t>
  </si>
  <si>
    <t>Debt</t>
  </si>
  <si>
    <t>EV</t>
  </si>
  <si>
    <t>Revenue</t>
  </si>
  <si>
    <t>COGS</t>
  </si>
  <si>
    <t>Gross Profit</t>
  </si>
  <si>
    <t>R&amp;D</t>
  </si>
  <si>
    <t>S&amp;M</t>
  </si>
  <si>
    <t>G&amp;A</t>
  </si>
  <si>
    <t>Interest</t>
  </si>
  <si>
    <t>Other</t>
  </si>
  <si>
    <t>Tax</t>
  </si>
  <si>
    <t>Pretax Income</t>
  </si>
  <si>
    <t>Net Income</t>
  </si>
  <si>
    <t>Gross Margin</t>
  </si>
  <si>
    <t>Operating Margin</t>
  </si>
  <si>
    <t>CFFO</t>
  </si>
  <si>
    <t>FCF</t>
  </si>
  <si>
    <t>Q124</t>
  </si>
  <si>
    <t>Q224</t>
  </si>
  <si>
    <t>Q324</t>
  </si>
  <si>
    <t>Q424</t>
  </si>
  <si>
    <t>Q125</t>
  </si>
  <si>
    <t>Q225</t>
  </si>
  <si>
    <t>NPV</t>
  </si>
  <si>
    <t>Maturity</t>
  </si>
  <si>
    <t>Discount</t>
  </si>
  <si>
    <t>Diff</t>
  </si>
  <si>
    <t>Tax Rate</t>
  </si>
  <si>
    <t>Google Search</t>
  </si>
  <si>
    <t>YouTube Ads</t>
  </si>
  <si>
    <t>Google Network</t>
  </si>
  <si>
    <t>Google Cloud</t>
  </si>
  <si>
    <t>Subscriptions, Devices</t>
  </si>
  <si>
    <t>Google Cloud Growth</t>
  </si>
  <si>
    <t>Q123</t>
  </si>
  <si>
    <t>Q223</t>
  </si>
  <si>
    <t>Q323</t>
  </si>
  <si>
    <t>Q423</t>
  </si>
  <si>
    <t>Revenue Growth y/y</t>
  </si>
  <si>
    <t>Revenue Growth q/q</t>
  </si>
  <si>
    <t>Net Margin</t>
  </si>
  <si>
    <t>AR</t>
  </si>
  <si>
    <t>AP</t>
  </si>
  <si>
    <t>Operating Income</t>
  </si>
  <si>
    <t>Operating Expenses</t>
  </si>
  <si>
    <t>PP&amp;E</t>
  </si>
  <si>
    <t>EPS</t>
  </si>
  <si>
    <t>Compensation</t>
  </si>
  <si>
    <t>Cloud % of Rev</t>
  </si>
  <si>
    <t>Net Cash</t>
  </si>
  <si>
    <t>ROIC</t>
  </si>
  <si>
    <t>DSO</t>
  </si>
  <si>
    <t>Model NI</t>
  </si>
  <si>
    <t>Reported NI</t>
  </si>
  <si>
    <t>Assets</t>
  </si>
  <si>
    <t>Liabilities</t>
  </si>
  <si>
    <t>SE</t>
  </si>
  <si>
    <t>L+SE</t>
  </si>
  <si>
    <t>Non-marketable Securities</t>
  </si>
  <si>
    <t>Deferred Tax</t>
  </si>
  <si>
    <t>Operating Lease Assets</t>
  </si>
  <si>
    <t>Goodwill</t>
  </si>
  <si>
    <t>Expenses</t>
  </si>
  <si>
    <t>Revenue Share</t>
  </si>
  <si>
    <t>Deferred Revenue</t>
  </si>
  <si>
    <t>Operating + Other Liabilities</t>
  </si>
  <si>
    <t>Noncurrent Tax</t>
  </si>
  <si>
    <t>D&amp;A</t>
  </si>
  <si>
    <t>Stock Compensation</t>
  </si>
  <si>
    <t>Gain on Securities</t>
  </si>
  <si>
    <t>Other Assets</t>
  </si>
  <si>
    <t>Accured Expenses</t>
  </si>
  <si>
    <t>Accured Revenue Share</t>
  </si>
  <si>
    <t>Purchases of PP&amp;E</t>
  </si>
  <si>
    <t>Purchases of Securities</t>
  </si>
  <si>
    <t>Sales of Securities</t>
  </si>
  <si>
    <t>Acquisitions, Intangible Assets</t>
  </si>
  <si>
    <t>Other Investing</t>
  </si>
  <si>
    <t>CAPEX</t>
  </si>
  <si>
    <t>United States Rev</t>
  </si>
  <si>
    <t>EMEA Rev</t>
  </si>
  <si>
    <t>APAC Rev</t>
  </si>
  <si>
    <t>Other Americas Rev</t>
  </si>
  <si>
    <t>TAC</t>
  </si>
  <si>
    <t>Employees</t>
  </si>
  <si>
    <t>"75B CAPEX 2025"</t>
  </si>
  <si>
    <t>"16B-18B Debt 1st Quarter"</t>
  </si>
  <si>
    <t>DT</t>
  </si>
  <si>
    <t>"Google Cloud will fluctuate on deployment" Capacity Constraints</t>
  </si>
  <si>
    <t>Q325</t>
  </si>
  <si>
    <t>Q425</t>
  </si>
  <si>
    <t>acquire Wiz for 32B</t>
  </si>
  <si>
    <t>Cloud and YouTube exit 2024 at annual run rate of 110B revenue</t>
  </si>
  <si>
    <t>TAC - traffic acquisition costs</t>
  </si>
  <si>
    <t>Google Search GM</t>
  </si>
  <si>
    <t>Services OI</t>
  </si>
  <si>
    <t>Cloud OI</t>
  </si>
  <si>
    <t>Other OI</t>
  </si>
  <si>
    <t>Alphabet-level OI</t>
  </si>
  <si>
    <t>Services OM</t>
  </si>
  <si>
    <t>Cloud OM</t>
  </si>
  <si>
    <t>Other OM</t>
  </si>
  <si>
    <t>Total Services</t>
  </si>
  <si>
    <t>Services</t>
  </si>
  <si>
    <t>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</si>
</sst>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3" fontId="0" fillId="0" borderId="0" xfId="0" applyNumberFormat="1"/>
    <xf numFmtId="9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10" fontId="0" fillId="0" borderId="0" xfId="0" applyNumberFormat="1"/>
    <xf numFmtId="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0</xdr:row>
      <xdr:rowOff>38100</xdr:rowOff>
    </xdr:from>
    <xdr:to>
      <xdr:col>8</xdr:col>
      <xdr:colOff>628650</xdr:colOff>
      <xdr:row>84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445C9DD-A662-F362-50EE-4050098C8359}"/>
            </a:ext>
          </a:extLst>
        </xdr:cNvPr>
        <xdr:cNvCxnSpPr/>
      </xdr:nvCxnSpPr>
      <xdr:spPr>
        <a:xfrm>
          <a:off x="6381750" y="38100"/>
          <a:ext cx="0" cy="166306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0</xdr:row>
      <xdr:rowOff>180975</xdr:rowOff>
    </xdr:from>
    <xdr:to>
      <xdr:col>20</xdr:col>
      <xdr:colOff>9525</xdr:colOff>
      <xdr:row>85</xdr:row>
      <xdr:rowOff>161925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72D8D2F-DB3B-3C73-C886-0459698155E0}"/>
            </a:ext>
          </a:extLst>
        </xdr:cNvPr>
        <xdr:cNvCxnSpPr/>
      </xdr:nvCxnSpPr>
      <xdr:spPr>
        <a:xfrm flipH="1">
          <a:off x="13068300" y="180975"/>
          <a:ext cx="9525" cy="14839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7E1F6-E010-4C2A-A7A7-05E6849E9A4F}">
  <dimension ref="A1:J15"/>
  <sheetViews>
    <sheetView zoomScale="190" zoomScaleNormal="190" workbookViewId="0">
      <selection activeCell="I3" sqref="I3"/>
    </sheetView>
  </sheetViews>
  <sheetFormatPr defaultRowHeight="15" x14ac:dyDescent="0.25"/>
  <sheetData>
    <row r="1" spans="1:10" x14ac:dyDescent="0.25">
      <c r="A1" s="1" t="s">
        <v>0</v>
      </c>
    </row>
    <row r="2" spans="1:10" x14ac:dyDescent="0.25">
      <c r="B2" t="s">
        <v>109</v>
      </c>
      <c r="H2" t="s">
        <v>1</v>
      </c>
      <c r="I2" s="2">
        <v>148</v>
      </c>
    </row>
    <row r="3" spans="1:10" x14ac:dyDescent="0.25">
      <c r="B3" t="s">
        <v>90</v>
      </c>
      <c r="H3" t="s">
        <v>2</v>
      </c>
      <c r="I3" s="2">
        <v>12250</v>
      </c>
      <c r="J3" t="s">
        <v>25</v>
      </c>
    </row>
    <row r="4" spans="1:10" x14ac:dyDescent="0.25">
      <c r="B4" t="s">
        <v>91</v>
      </c>
      <c r="H4" t="s">
        <v>3</v>
      </c>
      <c r="I4" s="2">
        <f>I3*I2</f>
        <v>1813000</v>
      </c>
    </row>
    <row r="5" spans="1:10" x14ac:dyDescent="0.25">
      <c r="B5" t="s">
        <v>93</v>
      </c>
      <c r="H5" t="s">
        <v>4</v>
      </c>
      <c r="I5" s="2">
        <f>23466+72191</f>
        <v>95657</v>
      </c>
      <c r="J5" t="s">
        <v>25</v>
      </c>
    </row>
    <row r="6" spans="1:10" x14ac:dyDescent="0.25">
      <c r="B6" t="s">
        <v>96</v>
      </c>
      <c r="H6" t="s">
        <v>5</v>
      </c>
      <c r="I6" s="2">
        <v>10883</v>
      </c>
      <c r="J6" t="s">
        <v>25</v>
      </c>
    </row>
    <row r="7" spans="1:10" x14ac:dyDescent="0.25">
      <c r="B7" s="2" t="s">
        <v>97</v>
      </c>
      <c r="H7" t="s">
        <v>6</v>
      </c>
      <c r="I7" s="2">
        <f>I4+I6-I5</f>
        <v>1728226</v>
      </c>
    </row>
    <row r="9" spans="1:10" x14ac:dyDescent="0.25">
      <c r="B9" t="s">
        <v>98</v>
      </c>
    </row>
    <row r="11" spans="1:10" x14ac:dyDescent="0.25">
      <c r="B11" s="7"/>
    </row>
    <row r="12" spans="1:10" x14ac:dyDescent="0.25">
      <c r="B12" s="7"/>
    </row>
    <row r="13" spans="1:10" x14ac:dyDescent="0.25">
      <c r="B13" s="3"/>
    </row>
    <row r="14" spans="1:10" x14ac:dyDescent="0.25">
      <c r="B14" s="3"/>
      <c r="C14" s="3"/>
    </row>
    <row r="15" spans="1:10" x14ac:dyDescent="0.25">
      <c r="C1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51D38-ABFE-4FA6-A788-1C5637E2C7B6}">
  <dimension ref="A1:HK101"/>
  <sheetViews>
    <sheetView tabSelected="1" workbookViewId="0">
      <pane xSplit="1" ySplit="1" topLeftCell="Q20" activePane="bottomRight" state="frozen"/>
      <selection pane="topRight" activeCell="B1" sqref="B1"/>
      <selection pane="bottomLeft" activeCell="A2" sqref="A2"/>
      <selection pane="bottomRight" activeCell="U41" sqref="U41"/>
    </sheetView>
  </sheetViews>
  <sheetFormatPr defaultRowHeight="15" x14ac:dyDescent="0.25"/>
  <cols>
    <col min="1" max="1" width="21.7109375" style="2" customWidth="1"/>
    <col min="2" max="5" width="9.28515625" style="2" customWidth="1"/>
    <col min="6" max="8" width="9.140625" style="2"/>
    <col min="9" max="9" width="9.5703125" style="2" bestFit="1" customWidth="1"/>
    <col min="10" max="12" width="9.140625" style="2"/>
    <col min="13" max="13" width="9.42578125" style="2" customWidth="1"/>
    <col min="14" max="19" width="9.140625" style="2"/>
    <col min="20" max="20" width="10.5703125" style="2" bestFit="1" customWidth="1"/>
    <col min="21" max="21" width="9.5703125" style="2" bestFit="1" customWidth="1"/>
    <col min="22" max="22" width="9.140625" style="2"/>
    <col min="23" max="23" width="8.5703125" style="2" customWidth="1"/>
    <col min="24" max="24" width="9.42578125" style="2" customWidth="1"/>
    <col min="25" max="25" width="9.7109375" style="2" customWidth="1"/>
    <col min="26" max="27" width="9.140625" style="2"/>
    <col min="28" max="28" width="9.85546875" style="2" customWidth="1"/>
    <col min="29" max="16384" width="9.140625" style="2"/>
  </cols>
  <sheetData>
    <row r="1" spans="1:25" x14ac:dyDescent="0.25">
      <c r="B1" s="2" t="s">
        <v>39</v>
      </c>
      <c r="C1" s="2" t="s">
        <v>40</v>
      </c>
      <c r="D1" s="2" t="s">
        <v>41</v>
      </c>
      <c r="E1" s="2" t="s">
        <v>42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94</v>
      </c>
      <c r="M1" s="2" t="s">
        <v>95</v>
      </c>
      <c r="O1" s="4">
        <v>2019</v>
      </c>
      <c r="P1" s="4">
        <v>2020</v>
      </c>
      <c r="Q1" s="4">
        <f>P1+1</f>
        <v>2021</v>
      </c>
      <c r="R1" s="4">
        <f t="shared" ref="R1:Y1" si="0">Q1+1</f>
        <v>2022</v>
      </c>
      <c r="S1" s="4">
        <f t="shared" si="0"/>
        <v>2023</v>
      </c>
      <c r="T1" s="4">
        <f t="shared" si="0"/>
        <v>2024</v>
      </c>
      <c r="U1" s="4">
        <f t="shared" si="0"/>
        <v>2025</v>
      </c>
      <c r="V1" s="4">
        <f t="shared" si="0"/>
        <v>2026</v>
      </c>
      <c r="W1" s="4">
        <f t="shared" si="0"/>
        <v>2027</v>
      </c>
      <c r="X1" s="4">
        <f t="shared" si="0"/>
        <v>2028</v>
      </c>
      <c r="Y1" s="4">
        <f t="shared" si="0"/>
        <v>2029</v>
      </c>
    </row>
    <row r="2" spans="1:25" x14ac:dyDescent="0.25">
      <c r="A2" s="2" t="s">
        <v>104</v>
      </c>
      <c r="B2" s="5"/>
      <c r="D2" s="5"/>
      <c r="E2" s="3">
        <f>E5/SUM(E17:E17)</f>
        <v>2.4763757643135076</v>
      </c>
      <c r="F2" s="5"/>
      <c r="I2" s="3">
        <f>I5/SUM(I17:I17)</f>
        <v>2.8218000515774091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x14ac:dyDescent="0.25">
      <c r="A3" s="2" t="s">
        <v>105</v>
      </c>
      <c r="B3" s="5"/>
      <c r="D3" s="5"/>
      <c r="E3" s="3">
        <f>E6/E19</f>
        <v>9.4103568320278497E-2</v>
      </c>
      <c r="F3" s="5"/>
      <c r="I3" s="3">
        <f>I6/I19</f>
        <v>0.17507319113341699</v>
      </c>
      <c r="J3" s="3">
        <v>0.4</v>
      </c>
      <c r="K3" s="3">
        <v>0.4</v>
      </c>
      <c r="L3" s="3">
        <v>0.4</v>
      </c>
      <c r="M3" s="3">
        <v>0.4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x14ac:dyDescent="0.25">
      <c r="A4" s="2" t="s">
        <v>106</v>
      </c>
      <c r="B4" s="5"/>
      <c r="D4" s="5"/>
      <c r="E4" s="3">
        <f>E7/E20</f>
        <v>-1.0693928128872368</v>
      </c>
      <c r="F4" s="5"/>
      <c r="I4" s="3">
        <f>I7/I20</f>
        <v>-2.7952380952380951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x14ac:dyDescent="0.25">
      <c r="A5" s="2" t="s">
        <v>100</v>
      </c>
      <c r="B5" s="5"/>
      <c r="D5" s="5"/>
      <c r="E5" s="2">
        <v>26730</v>
      </c>
      <c r="F5" s="5"/>
      <c r="I5" s="2">
        <v>32826</v>
      </c>
      <c r="J5" s="5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A6" s="2" t="s">
        <v>101</v>
      </c>
      <c r="B6" s="5"/>
      <c r="D6" s="5"/>
      <c r="E6" s="2">
        <v>865</v>
      </c>
      <c r="F6" s="5"/>
      <c r="I6" s="2">
        <v>2093</v>
      </c>
      <c r="J6" s="2">
        <f>J3*J19</f>
        <v>5355.8400000000011</v>
      </c>
      <c r="K6" s="2">
        <f>K3*K19</f>
        <v>5998.5408000000025</v>
      </c>
      <c r="L6" s="2">
        <f>L3*L19</f>
        <v>6718.3656960000026</v>
      </c>
      <c r="M6" s="2">
        <f>M3*M19</f>
        <v>7524.5695795200045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A7" s="2" t="s">
        <v>102</v>
      </c>
      <c r="B7" s="5"/>
      <c r="D7" s="5"/>
      <c r="E7" s="2">
        <v>-863</v>
      </c>
      <c r="F7" s="5"/>
      <c r="I7" s="2">
        <v>-1174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A8" s="2" t="s">
        <v>103</v>
      </c>
      <c r="B8" s="5"/>
      <c r="C8" s="5"/>
      <c r="D8" s="8"/>
      <c r="E8" s="2">
        <f>-3034-150</f>
        <v>-3184</v>
      </c>
      <c r="F8" s="6"/>
      <c r="G8" s="5"/>
      <c r="H8" s="8"/>
      <c r="I8" s="2">
        <f>-2783-20</f>
        <v>-2803</v>
      </c>
      <c r="J8" s="6"/>
      <c r="K8" s="5"/>
      <c r="L8" s="5"/>
      <c r="M8" s="5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5"/>
      <c r="C9" s="5"/>
      <c r="D9" s="8"/>
      <c r="F9" s="6"/>
      <c r="G9" s="5"/>
      <c r="H9" s="8"/>
      <c r="J9" s="6"/>
      <c r="K9" s="5"/>
      <c r="L9" s="5"/>
      <c r="M9" s="5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A10" s="2" t="s">
        <v>99</v>
      </c>
      <c r="B10" s="5"/>
      <c r="C10" s="5"/>
      <c r="D10" s="6">
        <f>(D14-D11)/D14</f>
        <v>0.71285149684277471</v>
      </c>
      <c r="E10" s="6">
        <f>(E14-E11)/E14</f>
        <v>0.70874635568513122</v>
      </c>
      <c r="F10" s="6"/>
      <c r="G10" s="5"/>
      <c r="H10" s="6">
        <f>(H14-H11)/H14</f>
        <v>0.72220309810671257</v>
      </c>
      <c r="I10" s="6">
        <f>(I14-I11)/I14</f>
        <v>0.72521005292963692</v>
      </c>
      <c r="J10" s="6"/>
      <c r="K10" s="5"/>
      <c r="L10" s="5"/>
      <c r="M10" s="5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A11" s="2" t="s">
        <v>88</v>
      </c>
      <c r="B11" s="5"/>
      <c r="C11" s="5"/>
      <c r="D11" s="2">
        <v>12642</v>
      </c>
      <c r="E11" s="2">
        <v>13986</v>
      </c>
      <c r="F11" s="5"/>
      <c r="G11" s="5"/>
      <c r="H11" s="2">
        <v>13719</v>
      </c>
      <c r="I11" s="2">
        <v>14848</v>
      </c>
      <c r="J11" s="5"/>
      <c r="K11" s="5"/>
      <c r="L11" s="5"/>
      <c r="M11" s="5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A12" s="2" t="s">
        <v>89</v>
      </c>
      <c r="B12" s="5"/>
      <c r="C12" s="5"/>
      <c r="D12" s="2">
        <v>182381</v>
      </c>
      <c r="E12" s="2">
        <v>182502</v>
      </c>
      <c r="F12" s="5"/>
      <c r="G12" s="5"/>
      <c r="H12" s="2">
        <v>181269</v>
      </c>
      <c r="I12" s="2">
        <v>183323</v>
      </c>
      <c r="J12" s="5"/>
      <c r="K12" s="5"/>
      <c r="L12" s="5"/>
      <c r="M12" s="5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5"/>
      <c r="C13" s="5"/>
      <c r="F13" s="5"/>
      <c r="G13" s="5"/>
      <c r="J13" s="5"/>
      <c r="K13" s="5"/>
      <c r="L13" s="5"/>
      <c r="M13" s="5"/>
      <c r="O13" s="3"/>
      <c r="P13" s="3"/>
      <c r="Q13" s="3"/>
      <c r="R13" s="3"/>
      <c r="S13" s="3"/>
      <c r="T13" s="3"/>
      <c r="U13" s="4"/>
      <c r="V13" s="4"/>
      <c r="W13" s="4"/>
      <c r="X13" s="4"/>
      <c r="Y13" s="4"/>
    </row>
    <row r="14" spans="1:25" x14ac:dyDescent="0.25">
      <c r="A14" s="2" t="s">
        <v>33</v>
      </c>
      <c r="B14" s="2">
        <v>40359</v>
      </c>
      <c r="C14" s="2">
        <v>42628</v>
      </c>
      <c r="D14" s="2">
        <v>44026</v>
      </c>
      <c r="E14" s="2">
        <v>48020</v>
      </c>
      <c r="F14" s="2">
        <v>46156</v>
      </c>
      <c r="G14" s="2">
        <v>48509</v>
      </c>
      <c r="H14" s="2">
        <v>49385</v>
      </c>
      <c r="I14" s="2">
        <v>54034</v>
      </c>
      <c r="J14" s="2">
        <f>I14*1.03</f>
        <v>55655.020000000004</v>
      </c>
      <c r="K14" s="2">
        <f t="shared" ref="K14:M14" si="1">J14*1.03</f>
        <v>57324.670600000005</v>
      </c>
      <c r="L14" s="2">
        <f t="shared" si="1"/>
        <v>59044.410718000006</v>
      </c>
      <c r="M14" s="2">
        <f t="shared" si="1"/>
        <v>60815.743039540008</v>
      </c>
      <c r="O14" s="2">
        <v>161857</v>
      </c>
      <c r="P14" s="2">
        <v>182527</v>
      </c>
      <c r="Q14" s="2">
        <v>257637</v>
      </c>
      <c r="R14" s="2">
        <v>162450</v>
      </c>
      <c r="S14" s="2">
        <v>175033</v>
      </c>
      <c r="T14" s="2">
        <v>198084</v>
      </c>
      <c r="U14" s="2">
        <f>SUM(J14:M14)</f>
        <v>232839.84435754002</v>
      </c>
      <c r="V14" s="2">
        <f>U14*1.09</f>
        <v>253795.43034971863</v>
      </c>
      <c r="W14" s="2">
        <f t="shared" ref="W14:Y14" si="2">V14*1.09</f>
        <v>276637.01908119331</v>
      </c>
      <c r="X14" s="2">
        <f t="shared" si="2"/>
        <v>301534.35079850076</v>
      </c>
      <c r="Y14" s="2">
        <f t="shared" si="2"/>
        <v>328672.44237036584</v>
      </c>
    </row>
    <row r="15" spans="1:25" x14ac:dyDescent="0.25">
      <c r="A15" s="2" t="s">
        <v>34</v>
      </c>
      <c r="B15" s="2">
        <v>6693</v>
      </c>
      <c r="C15" s="2">
        <v>7665</v>
      </c>
      <c r="D15" s="2">
        <v>7952</v>
      </c>
      <c r="E15" s="2">
        <v>9200</v>
      </c>
      <c r="F15" s="2">
        <v>8090</v>
      </c>
      <c r="G15" s="2">
        <v>8663</v>
      </c>
      <c r="H15" s="2">
        <v>8921</v>
      </c>
      <c r="I15" s="2">
        <v>10473</v>
      </c>
      <c r="J15" s="2">
        <f>I15*1.04</f>
        <v>10891.92</v>
      </c>
      <c r="K15" s="2">
        <f t="shared" ref="K15:M15" si="3">J15*1.04</f>
        <v>11327.596800000001</v>
      </c>
      <c r="L15" s="2">
        <f t="shared" si="3"/>
        <v>11780.700672000001</v>
      </c>
      <c r="M15" s="2">
        <f t="shared" si="3"/>
        <v>12251.928698880001</v>
      </c>
      <c r="P15" s="4"/>
      <c r="Q15" s="4"/>
      <c r="R15" s="2">
        <v>29243</v>
      </c>
      <c r="S15" s="2">
        <v>31510</v>
      </c>
      <c r="T15" s="2">
        <v>36147</v>
      </c>
      <c r="U15" s="2">
        <f>SUM(J15:M15)</f>
        <v>46252.146170880005</v>
      </c>
      <c r="V15" s="2">
        <f>U15*1.11</f>
        <v>51339.882249676812</v>
      </c>
      <c r="W15" s="2">
        <f t="shared" ref="W15:Y15" si="4">V15*1.11</f>
        <v>56987.269297141269</v>
      </c>
      <c r="X15" s="2">
        <f t="shared" si="4"/>
        <v>63255.868919826811</v>
      </c>
      <c r="Y15" s="2">
        <f t="shared" si="4"/>
        <v>70214.014501007769</v>
      </c>
    </row>
    <row r="16" spans="1:25" x14ac:dyDescent="0.25">
      <c r="A16" s="2" t="s">
        <v>35</v>
      </c>
      <c r="B16" s="2">
        <v>7496</v>
      </c>
      <c r="C16" s="2">
        <v>7850</v>
      </c>
      <c r="D16" s="2">
        <v>7669</v>
      </c>
      <c r="E16" s="2">
        <v>8297</v>
      </c>
      <c r="F16" s="2">
        <v>7413</v>
      </c>
      <c r="G16" s="2">
        <v>7444</v>
      </c>
      <c r="H16" s="2">
        <v>7548</v>
      </c>
      <c r="I16" s="2">
        <v>7954</v>
      </c>
      <c r="J16" s="2">
        <f>I16*0.98</f>
        <v>7794.92</v>
      </c>
      <c r="K16" s="2">
        <f t="shared" ref="K16:M16" si="5">J16*0.98</f>
        <v>7639.0216</v>
      </c>
      <c r="L16" s="2">
        <f t="shared" si="5"/>
        <v>7486.2411679999996</v>
      </c>
      <c r="M16" s="2">
        <f t="shared" si="5"/>
        <v>7336.5163446399993</v>
      </c>
      <c r="N16" s="3"/>
      <c r="P16" s="4"/>
      <c r="Q16" s="4"/>
      <c r="R16" s="2">
        <v>32780</v>
      </c>
      <c r="S16" s="2">
        <v>31312</v>
      </c>
      <c r="T16" s="2">
        <v>30359</v>
      </c>
      <c r="U16" s="2">
        <f>SUM(J16:M16)</f>
        <v>30256.699112639999</v>
      </c>
      <c r="V16" s="2">
        <f>U16*1.03</f>
        <v>31164.400086019199</v>
      </c>
      <c r="W16" s="2">
        <f t="shared" ref="W16:Y16" si="6">V16*1.03</f>
        <v>32099.332088599775</v>
      </c>
      <c r="X16" s="2">
        <f t="shared" si="6"/>
        <v>33062.312051257766</v>
      </c>
      <c r="Y16" s="2">
        <f t="shared" si="6"/>
        <v>34054.1814127955</v>
      </c>
    </row>
    <row r="17" spans="1:25" x14ac:dyDescent="0.25">
      <c r="A17" s="2" t="s">
        <v>37</v>
      </c>
      <c r="B17" s="2">
        <v>7413</v>
      </c>
      <c r="C17" s="2">
        <v>8142</v>
      </c>
      <c r="D17" s="2">
        <v>8339</v>
      </c>
      <c r="E17" s="2">
        <v>10794</v>
      </c>
      <c r="F17" s="2">
        <v>8739</v>
      </c>
      <c r="G17" s="2">
        <v>9312</v>
      </c>
      <c r="H17" s="2">
        <v>10656</v>
      </c>
      <c r="I17" s="2">
        <v>11633</v>
      </c>
      <c r="J17" s="2">
        <f>I17*1.02</f>
        <v>11865.66</v>
      </c>
      <c r="K17" s="2">
        <f t="shared" ref="K17:M17" si="7">J17*1.02</f>
        <v>12102.9732</v>
      </c>
      <c r="L17" s="2">
        <f t="shared" si="7"/>
        <v>12345.032664</v>
      </c>
      <c r="M17" s="2">
        <f t="shared" si="7"/>
        <v>12591.93331728</v>
      </c>
      <c r="P17" s="4"/>
      <c r="Q17" s="4"/>
      <c r="R17" s="2">
        <v>29055</v>
      </c>
      <c r="S17" s="2">
        <v>34688</v>
      </c>
      <c r="T17" s="2">
        <v>40340</v>
      </c>
      <c r="U17" s="2">
        <f>SUM(J17:M17)</f>
        <v>48905.599181280006</v>
      </c>
      <c r="V17" s="2">
        <f>U17*1.1</f>
        <v>53796.159099408011</v>
      </c>
      <c r="W17" s="2">
        <f t="shared" ref="W17:Y17" si="8">V17*1.1</f>
        <v>59175.775009348814</v>
      </c>
      <c r="X17" s="2">
        <f t="shared" si="8"/>
        <v>65093.352510283701</v>
      </c>
      <c r="Y17" s="2">
        <f t="shared" si="8"/>
        <v>71602.687761312074</v>
      </c>
    </row>
    <row r="18" spans="1:25" x14ac:dyDescent="0.25">
      <c r="A18" s="2" t="s">
        <v>107</v>
      </c>
      <c r="B18" s="2">
        <f>SUM(B14:B17)</f>
        <v>61961</v>
      </c>
      <c r="C18" s="2">
        <f t="shared" ref="C18:O18" si="9">SUM(C14:C17)</f>
        <v>66285</v>
      </c>
      <c r="D18" s="2">
        <f t="shared" si="9"/>
        <v>67986</v>
      </c>
      <c r="E18" s="2">
        <f t="shared" si="9"/>
        <v>76311</v>
      </c>
      <c r="F18" s="2">
        <f t="shared" si="9"/>
        <v>70398</v>
      </c>
      <c r="G18" s="2">
        <f t="shared" si="9"/>
        <v>73928</v>
      </c>
      <c r="H18" s="2">
        <f t="shared" si="9"/>
        <v>76510</v>
      </c>
      <c r="I18" s="2">
        <f t="shared" si="9"/>
        <v>84094</v>
      </c>
      <c r="J18" s="2">
        <f t="shared" si="9"/>
        <v>86207.52</v>
      </c>
      <c r="K18" s="2">
        <f t="shared" si="9"/>
        <v>88394.262200000026</v>
      </c>
      <c r="L18" s="2">
        <f t="shared" si="9"/>
        <v>90656.385221999997</v>
      </c>
      <c r="M18" s="2">
        <f t="shared" si="9"/>
        <v>92996.121400339995</v>
      </c>
      <c r="O18" s="2">
        <f t="shared" si="9"/>
        <v>161857</v>
      </c>
      <c r="P18" s="2">
        <f t="shared" ref="P18" si="10">SUM(P14:P17)</f>
        <v>182527</v>
      </c>
      <c r="Q18" s="2">
        <f t="shared" ref="Q18" si="11">SUM(Q14:Q17)</f>
        <v>257637</v>
      </c>
      <c r="R18" s="2">
        <f t="shared" ref="R18" si="12">SUM(R14:R17)</f>
        <v>253528</v>
      </c>
      <c r="S18" s="2">
        <f t="shared" ref="S18" si="13">SUM(S14:S17)</f>
        <v>272543</v>
      </c>
      <c r="T18" s="2">
        <f t="shared" ref="T18" si="14">SUM(T14:T17)</f>
        <v>304930</v>
      </c>
      <c r="U18" s="2">
        <f t="shared" ref="U18" si="15">SUM(U14:U17)</f>
        <v>358254.28882234002</v>
      </c>
      <c r="V18" s="2">
        <f t="shared" ref="V18" si="16">SUM(V14:V17)</f>
        <v>390095.87178482267</v>
      </c>
      <c r="W18" s="2">
        <f t="shared" ref="W18" si="17">SUM(W14:W17)</f>
        <v>424899.39547628321</v>
      </c>
      <c r="X18" s="2">
        <f t="shared" ref="X18" si="18">SUM(X14:X17)</f>
        <v>462945.88427986903</v>
      </c>
      <c r="Y18" s="2">
        <f t="shared" ref="Y18" si="19">SUM(Y14:Y17)</f>
        <v>504543.32604548114</v>
      </c>
    </row>
    <row r="19" spans="1:25" x14ac:dyDescent="0.25">
      <c r="A19" s="2" t="s">
        <v>36</v>
      </c>
      <c r="B19" s="2">
        <v>7454</v>
      </c>
      <c r="C19" s="2">
        <v>8031</v>
      </c>
      <c r="D19" s="2">
        <v>8411</v>
      </c>
      <c r="E19" s="2">
        <v>9192</v>
      </c>
      <c r="F19" s="2">
        <v>9574</v>
      </c>
      <c r="G19" s="2">
        <v>10347</v>
      </c>
      <c r="H19" s="2">
        <v>11353</v>
      </c>
      <c r="I19" s="2">
        <v>11955</v>
      </c>
      <c r="J19" s="2">
        <f>I19*1.12</f>
        <v>13389.600000000002</v>
      </c>
      <c r="K19" s="2">
        <f t="shared" ref="K19:M19" si="20">J19*1.12</f>
        <v>14996.352000000004</v>
      </c>
      <c r="L19" s="2">
        <f t="shared" si="20"/>
        <v>16795.914240000006</v>
      </c>
      <c r="M19" s="2">
        <f t="shared" si="20"/>
        <v>18811.423948800009</v>
      </c>
      <c r="P19" s="4"/>
      <c r="Q19" s="4"/>
      <c r="R19" s="2">
        <v>26280</v>
      </c>
      <c r="S19" s="2">
        <v>33088</v>
      </c>
      <c r="T19" s="2">
        <v>43229</v>
      </c>
      <c r="U19" s="2">
        <f>SUM(J19:M19)</f>
        <v>63993.29018880002</v>
      </c>
      <c r="V19" s="2">
        <f>U19*1.2</f>
        <v>76791.948226560024</v>
      </c>
      <c r="W19" s="2">
        <f t="shared" ref="W19:Y19" si="21">V19*1.2</f>
        <v>92150.33787187202</v>
      </c>
      <c r="X19" s="2">
        <f t="shared" si="21"/>
        <v>110580.40544624643</v>
      </c>
      <c r="Y19" s="2">
        <f t="shared" si="21"/>
        <v>132696.4865354957</v>
      </c>
    </row>
    <row r="20" spans="1:25" x14ac:dyDescent="0.25">
      <c r="A20" s="2" t="s">
        <v>14</v>
      </c>
      <c r="B20" s="2">
        <f>288+84</f>
        <v>372</v>
      </c>
      <c r="C20" s="2">
        <f>285+3</f>
        <v>288</v>
      </c>
      <c r="D20" s="2">
        <f>297-1</f>
        <v>296</v>
      </c>
      <c r="E20" s="2">
        <f>657+150</f>
        <v>807</v>
      </c>
      <c r="F20" s="2">
        <f>495+72</f>
        <v>567</v>
      </c>
      <c r="G20" s="2">
        <f>365+102</f>
        <v>467</v>
      </c>
      <c r="H20" s="2">
        <f>388+17</f>
        <v>405</v>
      </c>
      <c r="I20" s="2">
        <f>400+20</f>
        <v>420</v>
      </c>
      <c r="J20" s="2">
        <f>I20*1.03</f>
        <v>432.6</v>
      </c>
      <c r="K20" s="2">
        <f t="shared" ref="K20:M20" si="22">J20*1.03</f>
        <v>445.57800000000003</v>
      </c>
      <c r="L20" s="2">
        <f t="shared" si="22"/>
        <v>458.94534000000004</v>
      </c>
      <c r="M20" s="2">
        <f t="shared" si="22"/>
        <v>472.71370020000006</v>
      </c>
      <c r="P20" s="4"/>
      <c r="Q20" s="4"/>
      <c r="R20" s="2">
        <f>1068+1960</f>
        <v>3028</v>
      </c>
      <c r="S20" s="2">
        <f>1527+236</f>
        <v>1763</v>
      </c>
      <c r="T20" s="2">
        <f>1648+211</f>
        <v>1859</v>
      </c>
      <c r="U20" s="2">
        <f>SUM(J20:M20)</f>
        <v>1809.8370402</v>
      </c>
      <c r="V20" s="2">
        <f>U20*1.05</f>
        <v>1900.32889221</v>
      </c>
      <c r="W20" s="2">
        <f t="shared" ref="W20:Y20" si="23">V20*1.05</f>
        <v>1995.3453368205001</v>
      </c>
      <c r="X20" s="2">
        <f t="shared" si="23"/>
        <v>2095.1126036615251</v>
      </c>
      <c r="Y20" s="2">
        <f t="shared" si="23"/>
        <v>2199.8682338446015</v>
      </c>
    </row>
    <row r="21" spans="1:25" s="5" customFormat="1" x14ac:dyDescent="0.25">
      <c r="A21" s="5" t="s">
        <v>7</v>
      </c>
      <c r="B21" s="5">
        <f>SUM(B18:B20)</f>
        <v>69787</v>
      </c>
      <c r="C21" s="5">
        <f t="shared" ref="C21:Y21" si="24">SUM(C18:C20)</f>
        <v>74604</v>
      </c>
      <c r="D21" s="5">
        <f t="shared" si="24"/>
        <v>76693</v>
      </c>
      <c r="E21" s="5">
        <f t="shared" si="24"/>
        <v>86310</v>
      </c>
      <c r="F21" s="5">
        <f t="shared" si="24"/>
        <v>80539</v>
      </c>
      <c r="G21" s="5">
        <f t="shared" si="24"/>
        <v>84742</v>
      </c>
      <c r="H21" s="5">
        <f t="shared" si="24"/>
        <v>88268</v>
      </c>
      <c r="I21" s="5">
        <f t="shared" si="24"/>
        <v>96469</v>
      </c>
      <c r="J21" s="5">
        <f t="shared" si="24"/>
        <v>100029.72000000002</v>
      </c>
      <c r="K21" s="5">
        <f t="shared" si="24"/>
        <v>103836.19220000002</v>
      </c>
      <c r="L21" s="5">
        <f t="shared" si="24"/>
        <v>107911.244802</v>
      </c>
      <c r="M21" s="5">
        <f t="shared" si="24"/>
        <v>112280.25904934001</v>
      </c>
      <c r="N21" s="5">
        <f t="shared" si="24"/>
        <v>0</v>
      </c>
      <c r="O21" s="5">
        <f t="shared" si="24"/>
        <v>161857</v>
      </c>
      <c r="P21" s="5">
        <f t="shared" si="24"/>
        <v>182527</v>
      </c>
      <c r="Q21" s="5">
        <f t="shared" si="24"/>
        <v>257637</v>
      </c>
      <c r="R21" s="5">
        <f t="shared" si="24"/>
        <v>282836</v>
      </c>
      <c r="S21" s="5">
        <f t="shared" si="24"/>
        <v>307394</v>
      </c>
      <c r="T21" s="5">
        <f t="shared" si="24"/>
        <v>350018</v>
      </c>
      <c r="U21" s="5">
        <f t="shared" si="24"/>
        <v>424057.41605134006</v>
      </c>
      <c r="V21" s="5">
        <f t="shared" si="24"/>
        <v>468788.14890359266</v>
      </c>
      <c r="W21" s="5">
        <f t="shared" si="24"/>
        <v>519045.07868497574</v>
      </c>
      <c r="X21" s="5">
        <f t="shared" si="24"/>
        <v>575621.4023297769</v>
      </c>
      <c r="Y21" s="5">
        <f t="shared" si="24"/>
        <v>639439.68081482151</v>
      </c>
    </row>
    <row r="22" spans="1:25" x14ac:dyDescent="0.25">
      <c r="A22" s="2" t="s">
        <v>8</v>
      </c>
      <c r="B22" s="2">
        <v>30612</v>
      </c>
      <c r="C22" s="2">
        <v>31916</v>
      </c>
      <c r="D22" s="2">
        <v>33229</v>
      </c>
      <c r="E22" s="2">
        <v>37575</v>
      </c>
      <c r="F22" s="2">
        <v>33712</v>
      </c>
      <c r="G22" s="2">
        <v>35507</v>
      </c>
      <c r="H22" s="2">
        <v>36474</v>
      </c>
      <c r="I22" s="2">
        <v>40613</v>
      </c>
      <c r="J22" s="2">
        <f>I22*(1+J38)</f>
        <v>42112.046547180966</v>
      </c>
      <c r="K22" s="2">
        <f>J22*(1+K38)</f>
        <v>43714.553626746427</v>
      </c>
      <c r="L22" s="2">
        <f>K22*(1+L38)</f>
        <v>45430.131805488047</v>
      </c>
      <c r="M22" s="2">
        <f>L22*(1+M38)</f>
        <v>47269.466468718922</v>
      </c>
      <c r="O22" s="2">
        <v>71896</v>
      </c>
      <c r="P22" s="2">
        <v>84732</v>
      </c>
      <c r="Q22" s="2">
        <v>110939</v>
      </c>
      <c r="R22" s="2">
        <v>126203</v>
      </c>
      <c r="S22" s="2">
        <v>133332</v>
      </c>
      <c r="T22" s="2">
        <v>146302</v>
      </c>
      <c r="U22" s="2">
        <f>SUM(J22:M22)</f>
        <v>178526.19844813435</v>
      </c>
      <c r="V22" s="2">
        <f>V21*(1-V40)</f>
        <v>196891.02253950894</v>
      </c>
      <c r="W22" s="2">
        <f>W21*(1-W40)</f>
        <v>217998.93304768985</v>
      </c>
      <c r="X22" s="2">
        <f>X21*(1-X40)</f>
        <v>241760.98897850633</v>
      </c>
      <c r="Y22" s="2">
        <f>Y21*(1-Y40)</f>
        <v>268564.66594222508</v>
      </c>
    </row>
    <row r="23" spans="1:25" x14ac:dyDescent="0.25">
      <c r="A23" s="2" t="s">
        <v>9</v>
      </c>
      <c r="B23" s="2">
        <f>B21-B22</f>
        <v>39175</v>
      </c>
      <c r="C23" s="2">
        <f t="shared" ref="C23:M23" si="25">C21-C22</f>
        <v>42688</v>
      </c>
      <c r="D23" s="2">
        <f t="shared" si="25"/>
        <v>43464</v>
      </c>
      <c r="E23" s="2">
        <f t="shared" si="25"/>
        <v>48735</v>
      </c>
      <c r="F23" s="2">
        <f t="shared" si="25"/>
        <v>46827</v>
      </c>
      <c r="G23" s="2">
        <f t="shared" si="25"/>
        <v>49235</v>
      </c>
      <c r="H23" s="2">
        <f t="shared" si="25"/>
        <v>51794</v>
      </c>
      <c r="I23" s="2">
        <f t="shared" si="25"/>
        <v>55856</v>
      </c>
      <c r="J23" s="2">
        <f t="shared" si="25"/>
        <v>57917.67345281905</v>
      </c>
      <c r="K23" s="2">
        <f t="shared" si="25"/>
        <v>60121.638573253593</v>
      </c>
      <c r="L23" s="2">
        <f t="shared" si="25"/>
        <v>62481.112996511954</v>
      </c>
      <c r="M23" s="2">
        <f t="shared" si="25"/>
        <v>65010.792580621084</v>
      </c>
      <c r="O23" s="2">
        <f>O21-O22</f>
        <v>89961</v>
      </c>
      <c r="P23" s="2">
        <f>P21-P22</f>
        <v>97795</v>
      </c>
      <c r="Q23" s="2">
        <f>Q21-Q22</f>
        <v>146698</v>
      </c>
      <c r="R23" s="2">
        <f t="shared" ref="R23:T23" si="26">R21-R22</f>
        <v>156633</v>
      </c>
      <c r="S23" s="2">
        <f t="shared" si="26"/>
        <v>174062</v>
      </c>
      <c r="T23" s="2">
        <f t="shared" si="26"/>
        <v>203716</v>
      </c>
      <c r="U23" s="2">
        <f>U21-U22</f>
        <v>245531.2176032057</v>
      </c>
      <c r="V23" s="2">
        <f>V21-V22</f>
        <v>271897.12636408373</v>
      </c>
      <c r="W23" s="2">
        <f>W21-W22</f>
        <v>301046.1456372859</v>
      </c>
      <c r="X23" s="2">
        <f>X21-X22</f>
        <v>333860.4133512706</v>
      </c>
      <c r="Y23" s="2">
        <f>Y21-Y22</f>
        <v>370875.01487259642</v>
      </c>
    </row>
    <row r="24" spans="1:25" x14ac:dyDescent="0.25">
      <c r="A24" s="2" t="s">
        <v>10</v>
      </c>
      <c r="B24" s="2">
        <v>11468</v>
      </c>
      <c r="C24" s="2">
        <v>10588</v>
      </c>
      <c r="D24" s="2">
        <v>11258</v>
      </c>
      <c r="E24" s="2">
        <v>12113</v>
      </c>
      <c r="F24" s="2">
        <v>11903</v>
      </c>
      <c r="G24" s="2">
        <v>11860</v>
      </c>
      <c r="H24" s="2">
        <v>12447</v>
      </c>
      <c r="I24" s="2">
        <v>13116</v>
      </c>
      <c r="J24" s="2">
        <f>I24*1.02</f>
        <v>13378.32</v>
      </c>
      <c r="K24" s="2">
        <f t="shared" ref="K24:M24" si="27">J24*1.02</f>
        <v>13645.886399999999</v>
      </c>
      <c r="L24" s="2">
        <f t="shared" si="27"/>
        <v>13918.804128</v>
      </c>
      <c r="M24" s="2">
        <f t="shared" si="27"/>
        <v>14197.18021056</v>
      </c>
      <c r="O24" s="2">
        <v>26018</v>
      </c>
      <c r="P24" s="2">
        <v>27573</v>
      </c>
      <c r="Q24" s="2">
        <v>31562</v>
      </c>
      <c r="R24" s="2">
        <v>39500</v>
      </c>
      <c r="S24" s="2">
        <v>45247</v>
      </c>
      <c r="T24" s="2">
        <v>49326</v>
      </c>
      <c r="U24" s="2">
        <f>T24*(1+U37)</f>
        <v>59759.944071871731</v>
      </c>
      <c r="V24" s="2">
        <f>U24*(1+V37)</f>
        <v>66063.58596648919</v>
      </c>
      <c r="W24" s="2">
        <f>V24*(1+W37)</f>
        <v>73146.002637621816</v>
      </c>
      <c r="X24" s="2">
        <f>W24*(1+X37)</f>
        <v>81118.974713639225</v>
      </c>
      <c r="Y24" s="2">
        <f>X24*(1+Y37)</f>
        <v>90112.513344661944</v>
      </c>
    </row>
    <row r="25" spans="1:25" x14ac:dyDescent="0.25">
      <c r="A25" s="2" t="s">
        <v>11</v>
      </c>
      <c r="B25" s="2">
        <v>6533</v>
      </c>
      <c r="C25" s="2">
        <v>6781</v>
      </c>
      <c r="D25" s="2">
        <v>6884</v>
      </c>
      <c r="E25" s="2">
        <v>7719</v>
      </c>
      <c r="F25" s="2">
        <v>6426</v>
      </c>
      <c r="G25" s="2">
        <v>6792</v>
      </c>
      <c r="H25" s="2">
        <v>7227</v>
      </c>
      <c r="I25" s="2">
        <v>7363</v>
      </c>
      <c r="J25" s="2">
        <f>I25*1.01</f>
        <v>7436.63</v>
      </c>
      <c r="K25" s="2">
        <f t="shared" ref="K25:M25" si="28">J25*1.01</f>
        <v>7510.9962999999998</v>
      </c>
      <c r="L25" s="2">
        <f t="shared" si="28"/>
        <v>7586.1062629999997</v>
      </c>
      <c r="M25" s="2">
        <f t="shared" si="28"/>
        <v>7661.9673256299993</v>
      </c>
      <c r="O25" s="2">
        <v>18464</v>
      </c>
      <c r="P25" s="2">
        <v>17946</v>
      </c>
      <c r="Q25" s="2">
        <v>22912</v>
      </c>
      <c r="R25" s="2">
        <v>26567</v>
      </c>
      <c r="S25" s="2">
        <v>27917</v>
      </c>
      <c r="T25" s="2">
        <v>27808</v>
      </c>
      <c r="U25" s="2">
        <f>T25*(1+U37/2)</f>
        <v>30749.117430468814</v>
      </c>
      <c r="V25" s="2">
        <f>U25*(1+V37/2)</f>
        <v>32370.867817518199</v>
      </c>
      <c r="W25" s="2">
        <f>V25*(1+W37/2)</f>
        <v>34106.044394264391</v>
      </c>
      <c r="X25" s="2">
        <f>W25*(1+X37/2)</f>
        <v>35964.837286379443</v>
      </c>
      <c r="Y25" s="2">
        <f>X25*(1+Y37/2)</f>
        <v>37958.520975277919</v>
      </c>
    </row>
    <row r="26" spans="1:25" x14ac:dyDescent="0.25">
      <c r="A26" s="2" t="s">
        <v>12</v>
      </c>
      <c r="B26" s="2">
        <v>3759</v>
      </c>
      <c r="C26" s="2">
        <v>3481</v>
      </c>
      <c r="D26" s="2">
        <v>3979</v>
      </c>
      <c r="E26" s="2">
        <v>5206</v>
      </c>
      <c r="F26" s="2">
        <v>3026</v>
      </c>
      <c r="G26" s="2">
        <v>3158</v>
      </c>
      <c r="H26" s="2">
        <v>3599</v>
      </c>
      <c r="I26" s="2">
        <v>4405</v>
      </c>
      <c r="J26" s="2">
        <f>I26*1.005</f>
        <v>4427.0249999999996</v>
      </c>
      <c r="K26" s="2">
        <f t="shared" ref="K26:M26" si="29">J26*1.005</f>
        <v>4449.1601249999994</v>
      </c>
      <c r="L26" s="2">
        <f t="shared" si="29"/>
        <v>4471.4059256249993</v>
      </c>
      <c r="M26" s="2">
        <f t="shared" si="29"/>
        <v>4493.7629552531234</v>
      </c>
      <c r="O26" s="2">
        <f>9551+1697</f>
        <v>11248</v>
      </c>
      <c r="P26" s="2">
        <v>11052</v>
      </c>
      <c r="Q26" s="2">
        <v>13510</v>
      </c>
      <c r="R26" s="2">
        <v>15724</v>
      </c>
      <c r="S26" s="2">
        <v>16425</v>
      </c>
      <c r="T26" s="2">
        <v>14188</v>
      </c>
      <c r="U26" s="2">
        <f>T26*(1+U37/3)</f>
        <v>15188.397346171163</v>
      </c>
      <c r="V26" s="2">
        <f>U26*(1+V37/3)</f>
        <v>15722.435205534366</v>
      </c>
      <c r="W26" s="2">
        <f>V26*(1+W37/3)</f>
        <v>16284.281975740287</v>
      </c>
      <c r="X26" s="2">
        <f>W26*(1+X37/3)</f>
        <v>16875.948509288683</v>
      </c>
      <c r="Y26" s="2">
        <f>X26*(1+Y37/3)</f>
        <v>17499.618846137415</v>
      </c>
    </row>
    <row r="27" spans="1:25" x14ac:dyDescent="0.25">
      <c r="A27" s="2" t="s">
        <v>49</v>
      </c>
      <c r="B27" s="2">
        <f>SUM(B24:B26)</f>
        <v>21760</v>
      </c>
      <c r="C27" s="2">
        <f t="shared" ref="C27:K27" si="30">SUM(C24:C26)</f>
        <v>20850</v>
      </c>
      <c r="D27" s="2">
        <f t="shared" si="30"/>
        <v>22121</v>
      </c>
      <c r="E27" s="2">
        <f t="shared" si="30"/>
        <v>25038</v>
      </c>
      <c r="F27" s="2">
        <f t="shared" si="30"/>
        <v>21355</v>
      </c>
      <c r="G27" s="2">
        <f t="shared" si="30"/>
        <v>21810</v>
      </c>
      <c r="H27" s="2">
        <f t="shared" si="30"/>
        <v>23273</v>
      </c>
      <c r="I27" s="2">
        <f t="shared" si="30"/>
        <v>24884</v>
      </c>
      <c r="J27" s="2">
        <f t="shared" si="30"/>
        <v>25241.974999999999</v>
      </c>
      <c r="K27" s="2">
        <f t="shared" si="30"/>
        <v>25606.042824999997</v>
      </c>
      <c r="L27" s="2">
        <f t="shared" ref="L27:M27" si="31">SUM(L24:L26)</f>
        <v>25976.316316624998</v>
      </c>
      <c r="M27" s="2">
        <f t="shared" si="31"/>
        <v>26352.910491443123</v>
      </c>
      <c r="O27" s="2">
        <f t="shared" ref="O27:Y27" si="32">SUM(O24:O26)</f>
        <v>55730</v>
      </c>
      <c r="P27" s="2">
        <f t="shared" si="32"/>
        <v>56571</v>
      </c>
      <c r="Q27" s="2">
        <f t="shared" si="32"/>
        <v>67984</v>
      </c>
      <c r="R27" s="2">
        <f t="shared" si="32"/>
        <v>81791</v>
      </c>
      <c r="S27" s="2">
        <f t="shared" si="32"/>
        <v>89589</v>
      </c>
      <c r="T27" s="2">
        <f t="shared" si="32"/>
        <v>91322</v>
      </c>
      <c r="U27" s="2">
        <f t="shared" si="32"/>
        <v>105697.4588485117</v>
      </c>
      <c r="V27" s="2">
        <f t="shared" si="32"/>
        <v>114156.88898954175</v>
      </c>
      <c r="W27" s="2">
        <f t="shared" si="32"/>
        <v>123536.3290076265</v>
      </c>
      <c r="X27" s="2">
        <f t="shared" si="32"/>
        <v>133959.76050930735</v>
      </c>
      <c r="Y27" s="2">
        <f t="shared" si="32"/>
        <v>145570.65316607727</v>
      </c>
    </row>
    <row r="28" spans="1:25" x14ac:dyDescent="0.25">
      <c r="A28" s="2" t="s">
        <v>48</v>
      </c>
      <c r="B28" s="2">
        <f>B23-B27</f>
        <v>17415</v>
      </c>
      <c r="C28" s="2">
        <f t="shared" ref="C28:K28" si="33">C23-C27</f>
        <v>21838</v>
      </c>
      <c r="D28" s="2">
        <f t="shared" si="33"/>
        <v>21343</v>
      </c>
      <c r="E28" s="2">
        <f t="shared" si="33"/>
        <v>23697</v>
      </c>
      <c r="F28" s="2">
        <f t="shared" si="33"/>
        <v>25472</v>
      </c>
      <c r="G28" s="2">
        <f t="shared" si="33"/>
        <v>27425</v>
      </c>
      <c r="H28" s="2">
        <f t="shared" si="33"/>
        <v>28521</v>
      </c>
      <c r="I28" s="2">
        <f t="shared" si="33"/>
        <v>30972</v>
      </c>
      <c r="J28" s="2">
        <f t="shared" si="33"/>
        <v>32675.698452819051</v>
      </c>
      <c r="K28" s="2">
        <f t="shared" si="33"/>
        <v>34515.595748253596</v>
      </c>
      <c r="L28" s="2">
        <f t="shared" ref="L28:M28" si="34">L23-L27</f>
        <v>36504.79667988696</v>
      </c>
      <c r="M28" s="2">
        <f t="shared" si="34"/>
        <v>38657.882089177961</v>
      </c>
      <c r="O28" s="2">
        <f t="shared" ref="O28:Y28" si="35">O23-O27</f>
        <v>34231</v>
      </c>
      <c r="P28" s="2">
        <f t="shared" si="35"/>
        <v>41224</v>
      </c>
      <c r="Q28" s="2">
        <f t="shared" si="35"/>
        <v>78714</v>
      </c>
      <c r="R28" s="2">
        <f t="shared" si="35"/>
        <v>74842</v>
      </c>
      <c r="S28" s="2">
        <f t="shared" si="35"/>
        <v>84473</v>
      </c>
      <c r="T28" s="2">
        <f t="shared" si="35"/>
        <v>112394</v>
      </c>
      <c r="U28" s="2">
        <f t="shared" si="35"/>
        <v>139833.75875469402</v>
      </c>
      <c r="V28" s="2">
        <f t="shared" si="35"/>
        <v>157740.23737454199</v>
      </c>
      <c r="W28" s="2">
        <f t="shared" si="35"/>
        <v>177509.81662965938</v>
      </c>
      <c r="X28" s="2">
        <f t="shared" si="35"/>
        <v>199900.65284196325</v>
      </c>
      <c r="Y28" s="2">
        <f t="shared" si="35"/>
        <v>225304.36170651915</v>
      </c>
    </row>
    <row r="29" spans="1:25" x14ac:dyDescent="0.25">
      <c r="A29" s="2" t="s">
        <v>13</v>
      </c>
      <c r="U29" s="2">
        <f>T53*$AB$93</f>
        <v>5086.4399999999996</v>
      </c>
      <c r="V29" s="2">
        <f>U53*$AB$93</f>
        <v>12031.497420972495</v>
      </c>
      <c r="W29" s="2">
        <f>V53*$AB$93</f>
        <v>20155.276050279881</v>
      </c>
      <c r="X29" s="2">
        <f>W53*$AB$93</f>
        <v>29601.965827309003</v>
      </c>
      <c r="Y29" s="2">
        <f>X53*$AB$93</f>
        <v>40558.527980072504</v>
      </c>
    </row>
    <row r="30" spans="1:25" x14ac:dyDescent="0.25">
      <c r="A30" s="2" t="s">
        <v>14</v>
      </c>
      <c r="B30" s="2">
        <v>790</v>
      </c>
      <c r="C30" s="2">
        <v>65</v>
      </c>
      <c r="D30" s="2">
        <v>-146</v>
      </c>
      <c r="E30" s="2">
        <v>715</v>
      </c>
      <c r="F30" s="2">
        <v>2843</v>
      </c>
      <c r="G30" s="2">
        <v>126</v>
      </c>
      <c r="H30" s="2">
        <v>3185</v>
      </c>
      <c r="I30" s="2">
        <v>1271</v>
      </c>
      <c r="O30" s="2">
        <v>5394</v>
      </c>
      <c r="P30" s="2">
        <v>6858</v>
      </c>
      <c r="S30" s="2">
        <f>SUM(B30:E30)</f>
        <v>1424</v>
      </c>
      <c r="T30" s="2">
        <f>SUM(F30:I30)</f>
        <v>7425</v>
      </c>
      <c r="U30" s="2">
        <v>1600</v>
      </c>
      <c r="V30" s="2">
        <f>U30*1.01</f>
        <v>1616</v>
      </c>
      <c r="W30" s="2">
        <f t="shared" ref="W30:Y30" si="36">V30*1.01</f>
        <v>1632.16</v>
      </c>
      <c r="X30" s="2">
        <f t="shared" si="36"/>
        <v>1648.4816000000001</v>
      </c>
      <c r="Y30" s="2">
        <f t="shared" si="36"/>
        <v>1664.966416</v>
      </c>
    </row>
    <row r="31" spans="1:25" x14ac:dyDescent="0.25">
      <c r="A31" s="2" t="s">
        <v>16</v>
      </c>
      <c r="B31" s="2">
        <f>B28+SUM(B29:B30)</f>
        <v>18205</v>
      </c>
      <c r="C31" s="2">
        <f t="shared" ref="C31:K31" si="37">C28+SUM(C29:C30)</f>
        <v>21903</v>
      </c>
      <c r="D31" s="2">
        <f t="shared" si="37"/>
        <v>21197</v>
      </c>
      <c r="E31" s="2">
        <f t="shared" si="37"/>
        <v>24412</v>
      </c>
      <c r="F31" s="2">
        <f t="shared" si="37"/>
        <v>28315</v>
      </c>
      <c r="G31" s="2">
        <f t="shared" si="37"/>
        <v>27551</v>
      </c>
      <c r="H31" s="2">
        <f t="shared" si="37"/>
        <v>31706</v>
      </c>
      <c r="I31" s="2">
        <f t="shared" si="37"/>
        <v>32243</v>
      </c>
      <c r="J31" s="2">
        <f t="shared" si="37"/>
        <v>32675.698452819051</v>
      </c>
      <c r="K31" s="2">
        <f t="shared" si="37"/>
        <v>34515.595748253596</v>
      </c>
      <c r="L31" s="2">
        <f t="shared" ref="L31:M31" si="38">L28+SUM(L29:L30)</f>
        <v>36504.79667988696</v>
      </c>
      <c r="M31" s="2">
        <f t="shared" si="38"/>
        <v>38657.882089177961</v>
      </c>
      <c r="N31" s="3"/>
      <c r="O31" s="2">
        <f t="shared" ref="O31:T31" si="39">SUM(O28:O30)</f>
        <v>39625</v>
      </c>
      <c r="P31" s="2">
        <f t="shared" si="39"/>
        <v>48082</v>
      </c>
      <c r="Q31" s="2">
        <f t="shared" si="39"/>
        <v>78714</v>
      </c>
      <c r="R31" s="2">
        <f t="shared" si="39"/>
        <v>74842</v>
      </c>
      <c r="S31" s="2">
        <f t="shared" si="39"/>
        <v>85897</v>
      </c>
      <c r="T31" s="2">
        <f t="shared" si="39"/>
        <v>119819</v>
      </c>
      <c r="U31" s="2">
        <f t="shared" ref="U31:Y31" si="40">SUM(U28:U30)</f>
        <v>146520.19875469402</v>
      </c>
      <c r="V31" s="2">
        <f t="shared" si="40"/>
        <v>171387.73479551449</v>
      </c>
      <c r="W31" s="2">
        <f t="shared" si="40"/>
        <v>199297.25267993927</v>
      </c>
      <c r="X31" s="2">
        <f t="shared" si="40"/>
        <v>231151.10026927225</v>
      </c>
      <c r="Y31" s="2">
        <f t="shared" si="40"/>
        <v>267527.85610259161</v>
      </c>
    </row>
    <row r="32" spans="1:25" x14ac:dyDescent="0.25">
      <c r="A32" s="2" t="s">
        <v>15</v>
      </c>
      <c r="B32" s="2">
        <v>3154</v>
      </c>
      <c r="C32" s="2">
        <v>3535</v>
      </c>
      <c r="D32" s="2">
        <v>1508</v>
      </c>
      <c r="E32" s="2">
        <v>3725</v>
      </c>
      <c r="F32" s="2">
        <v>4653</v>
      </c>
      <c r="G32" s="2">
        <v>3932</v>
      </c>
      <c r="H32" s="2">
        <v>5405</v>
      </c>
      <c r="I32" s="2">
        <v>5707</v>
      </c>
      <c r="J32" s="2">
        <f>J31*J42</f>
        <v>6208.3827060356198</v>
      </c>
      <c r="K32" s="2">
        <f>K31*K42</f>
        <v>6557.963192168183</v>
      </c>
      <c r="L32" s="2">
        <f>L31*L42</f>
        <v>6935.9113691785224</v>
      </c>
      <c r="M32" s="2">
        <f>M31*M42</f>
        <v>7344.9975969438128</v>
      </c>
      <c r="O32" s="2">
        <v>5282</v>
      </c>
      <c r="P32" s="2">
        <v>7813</v>
      </c>
      <c r="Q32" s="2">
        <v>14701</v>
      </c>
      <c r="R32" s="2">
        <v>11356</v>
      </c>
      <c r="S32" s="2">
        <v>11922</v>
      </c>
      <c r="T32" s="2">
        <v>19697</v>
      </c>
      <c r="U32" s="2">
        <f>U31*U42</f>
        <v>30769.241738485744</v>
      </c>
      <c r="V32" s="2">
        <f>V31*V42</f>
        <v>35991.424307058041</v>
      </c>
      <c r="W32" s="2">
        <f>W31*W42</f>
        <v>41852.423062787246</v>
      </c>
      <c r="X32" s="2">
        <f>X31*X42</f>
        <v>48541.731056547171</v>
      </c>
      <c r="Y32" s="2">
        <f>Y31*Y42</f>
        <v>56180.849781544239</v>
      </c>
    </row>
    <row r="33" spans="1:219" s="5" customFormat="1" x14ac:dyDescent="0.25">
      <c r="A33" s="5" t="s">
        <v>17</v>
      </c>
      <c r="B33" s="5">
        <f>B31-B32</f>
        <v>15051</v>
      </c>
      <c r="C33" s="5">
        <f t="shared" ref="C33:K33" si="41">C31-C32</f>
        <v>18368</v>
      </c>
      <c r="D33" s="5">
        <f t="shared" si="41"/>
        <v>19689</v>
      </c>
      <c r="E33" s="5">
        <f t="shared" si="41"/>
        <v>20687</v>
      </c>
      <c r="F33" s="5">
        <f t="shared" si="41"/>
        <v>23662</v>
      </c>
      <c r="G33" s="5">
        <f t="shared" si="41"/>
        <v>23619</v>
      </c>
      <c r="H33" s="5">
        <f t="shared" si="41"/>
        <v>26301</v>
      </c>
      <c r="I33" s="5">
        <f t="shared" si="41"/>
        <v>26536</v>
      </c>
      <c r="J33" s="5">
        <f t="shared" si="41"/>
        <v>26467.315746783432</v>
      </c>
      <c r="K33" s="5">
        <f t="shared" si="41"/>
        <v>27957.632556085413</v>
      </c>
      <c r="L33" s="5">
        <f t="shared" ref="L33:M33" si="42">L31-L32</f>
        <v>29568.885310708436</v>
      </c>
      <c r="M33" s="5">
        <f t="shared" si="42"/>
        <v>31312.884492234149</v>
      </c>
      <c r="O33" s="5">
        <f t="shared" ref="O33:T33" si="43">O31-O32</f>
        <v>34343</v>
      </c>
      <c r="P33" s="5">
        <f t="shared" si="43"/>
        <v>40269</v>
      </c>
      <c r="Q33" s="5">
        <f t="shared" si="43"/>
        <v>64013</v>
      </c>
      <c r="R33" s="5">
        <f t="shared" si="43"/>
        <v>63486</v>
      </c>
      <c r="S33" s="5">
        <f t="shared" si="43"/>
        <v>73975</v>
      </c>
      <c r="T33" s="5">
        <f t="shared" si="43"/>
        <v>100122</v>
      </c>
      <c r="U33" s="5">
        <f t="shared" ref="U33:Y33" si="44">U31-U32</f>
        <v>115750.95701620828</v>
      </c>
      <c r="V33" s="5">
        <f t="shared" si="44"/>
        <v>135396.31048845645</v>
      </c>
      <c r="W33" s="5">
        <f t="shared" si="44"/>
        <v>157444.82961715202</v>
      </c>
      <c r="X33" s="5">
        <f t="shared" si="44"/>
        <v>182609.36921272508</v>
      </c>
      <c r="Y33" s="5">
        <f t="shared" si="44"/>
        <v>211347.00632104737</v>
      </c>
      <c r="Z33" s="5">
        <f t="shared" ref="Z33:BE33" si="45">Y33*(1+$AB$94)</f>
        <v>213460.47638425784</v>
      </c>
      <c r="AA33" s="5">
        <f t="shared" si="45"/>
        <v>215595.08114810041</v>
      </c>
      <c r="AB33" s="5">
        <f t="shared" si="45"/>
        <v>217751.03195958142</v>
      </c>
      <c r="AC33" s="5">
        <f t="shared" si="45"/>
        <v>219928.54227917723</v>
      </c>
      <c r="AD33" s="5">
        <f t="shared" si="45"/>
        <v>222127.82770196901</v>
      </c>
      <c r="AE33" s="5">
        <f t="shared" si="45"/>
        <v>224349.10597898869</v>
      </c>
      <c r="AF33" s="5">
        <f t="shared" si="45"/>
        <v>226592.59703877859</v>
      </c>
      <c r="AG33" s="5">
        <f t="shared" si="45"/>
        <v>228858.52300916638</v>
      </c>
      <c r="AH33" s="5">
        <f t="shared" si="45"/>
        <v>231147.10823925806</v>
      </c>
      <c r="AI33" s="5">
        <f t="shared" si="45"/>
        <v>233458.57932165064</v>
      </c>
      <c r="AJ33" s="5">
        <f t="shared" si="45"/>
        <v>235793.16511486715</v>
      </c>
      <c r="AK33" s="5">
        <f t="shared" si="45"/>
        <v>238151.09676601583</v>
      </c>
      <c r="AL33" s="5">
        <f t="shared" si="45"/>
        <v>240532.60773367601</v>
      </c>
      <c r="AM33" s="5">
        <f t="shared" si="45"/>
        <v>242937.93381101277</v>
      </c>
      <c r="AN33" s="5">
        <f t="shared" si="45"/>
        <v>245367.3131491229</v>
      </c>
      <c r="AO33" s="5">
        <f t="shared" si="45"/>
        <v>247820.98628061413</v>
      </c>
      <c r="AP33" s="5">
        <f t="shared" si="45"/>
        <v>250299.19614342027</v>
      </c>
      <c r="AQ33" s="5">
        <f t="shared" si="45"/>
        <v>252802.18810485446</v>
      </c>
      <c r="AR33" s="5">
        <f t="shared" si="45"/>
        <v>255330.209985903</v>
      </c>
      <c r="AS33" s="5">
        <f t="shared" si="45"/>
        <v>257883.51208576202</v>
      </c>
      <c r="AT33" s="5">
        <f t="shared" si="45"/>
        <v>260462.34720661966</v>
      </c>
      <c r="AU33" s="5">
        <f t="shared" si="45"/>
        <v>263066.97067868587</v>
      </c>
      <c r="AV33" s="5">
        <f t="shared" si="45"/>
        <v>265697.64038547274</v>
      </c>
      <c r="AW33" s="5">
        <f t="shared" si="45"/>
        <v>268354.61678932747</v>
      </c>
      <c r="AX33" s="5">
        <f t="shared" si="45"/>
        <v>271038.16295722075</v>
      </c>
      <c r="AY33" s="5">
        <f t="shared" si="45"/>
        <v>273748.54458679294</v>
      </c>
      <c r="AZ33" s="5">
        <f t="shared" si="45"/>
        <v>276486.03003266087</v>
      </c>
      <c r="BA33" s="5">
        <f t="shared" si="45"/>
        <v>279250.89033298747</v>
      </c>
      <c r="BB33" s="5">
        <f t="shared" si="45"/>
        <v>282043.39923631737</v>
      </c>
      <c r="BC33" s="5">
        <f t="shared" si="45"/>
        <v>284863.83322868054</v>
      </c>
      <c r="BD33" s="5">
        <f t="shared" si="45"/>
        <v>287712.47156096733</v>
      </c>
      <c r="BE33" s="5">
        <f t="shared" si="45"/>
        <v>290589.59627657698</v>
      </c>
      <c r="BF33" s="5">
        <f t="shared" ref="BF33:CK33" si="46">BE33*(1+$AB$94)</f>
        <v>293495.49223934277</v>
      </c>
      <c r="BG33" s="5">
        <f t="shared" si="46"/>
        <v>296430.4471617362</v>
      </c>
      <c r="BH33" s="5">
        <f t="shared" si="46"/>
        <v>299394.75163335359</v>
      </c>
      <c r="BI33" s="5">
        <f t="shared" si="46"/>
        <v>302388.69914968713</v>
      </c>
      <c r="BJ33" s="5">
        <f t="shared" si="46"/>
        <v>305412.58614118403</v>
      </c>
      <c r="BK33" s="5">
        <f t="shared" si="46"/>
        <v>308466.71200259589</v>
      </c>
      <c r="BL33" s="5">
        <f t="shared" si="46"/>
        <v>311551.37912262185</v>
      </c>
      <c r="BM33" s="5">
        <f t="shared" si="46"/>
        <v>314666.89291384805</v>
      </c>
      <c r="BN33" s="5">
        <f t="shared" si="46"/>
        <v>317813.56184298656</v>
      </c>
      <c r="BO33" s="5">
        <f t="shared" si="46"/>
        <v>320991.69746141642</v>
      </c>
      <c r="BP33" s="5">
        <f t="shared" si="46"/>
        <v>324201.61443603056</v>
      </c>
      <c r="BQ33" s="5">
        <f t="shared" si="46"/>
        <v>327443.63058039086</v>
      </c>
      <c r="BR33" s="5">
        <f t="shared" si="46"/>
        <v>330718.06688619475</v>
      </c>
      <c r="BS33" s="5">
        <f t="shared" si="46"/>
        <v>334025.2475550567</v>
      </c>
      <c r="BT33" s="5">
        <f t="shared" si="46"/>
        <v>337365.50003060728</v>
      </c>
      <c r="BU33" s="5">
        <f t="shared" si="46"/>
        <v>340739.15503091336</v>
      </c>
      <c r="BV33" s="5">
        <f t="shared" si="46"/>
        <v>344146.5465812225</v>
      </c>
      <c r="BW33" s="5">
        <f t="shared" si="46"/>
        <v>347588.01204703475</v>
      </c>
      <c r="BX33" s="5">
        <f t="shared" si="46"/>
        <v>351063.89216750511</v>
      </c>
      <c r="BY33" s="5">
        <f t="shared" si="46"/>
        <v>354574.53108918015</v>
      </c>
      <c r="BZ33" s="5">
        <f t="shared" si="46"/>
        <v>358120.27640007198</v>
      </c>
      <c r="CA33" s="5">
        <f t="shared" si="46"/>
        <v>361701.47916407272</v>
      </c>
      <c r="CB33" s="5">
        <f t="shared" si="46"/>
        <v>365318.49395571346</v>
      </c>
      <c r="CC33" s="5">
        <f t="shared" si="46"/>
        <v>368971.67889527063</v>
      </c>
      <c r="CD33" s="5">
        <f t="shared" si="46"/>
        <v>372661.39568422333</v>
      </c>
      <c r="CE33" s="5">
        <f t="shared" si="46"/>
        <v>376388.00964106555</v>
      </c>
      <c r="CF33" s="5">
        <f t="shared" si="46"/>
        <v>380151.88973747619</v>
      </c>
      <c r="CG33" s="5">
        <f t="shared" si="46"/>
        <v>383953.40863485093</v>
      </c>
      <c r="CH33" s="5">
        <f t="shared" si="46"/>
        <v>387792.94272119942</v>
      </c>
      <c r="CI33" s="5">
        <f t="shared" si="46"/>
        <v>391670.87214841141</v>
      </c>
      <c r="CJ33" s="5">
        <f t="shared" si="46"/>
        <v>395587.58086989552</v>
      </c>
      <c r="CK33" s="5">
        <f t="shared" si="46"/>
        <v>399543.45667859446</v>
      </c>
      <c r="CL33" s="5">
        <f t="shared" ref="CL33:DQ33" si="47">CK33*(1+$AB$94)</f>
        <v>403538.89124538039</v>
      </c>
      <c r="CM33" s="5">
        <f t="shared" si="47"/>
        <v>407574.28015783418</v>
      </c>
      <c r="CN33" s="5">
        <f t="shared" si="47"/>
        <v>411650.02295941254</v>
      </c>
      <c r="CO33" s="5">
        <f t="shared" si="47"/>
        <v>415766.52318900666</v>
      </c>
      <c r="CP33" s="5">
        <f t="shared" si="47"/>
        <v>419924.18842089671</v>
      </c>
      <c r="CQ33" s="5">
        <f t="shared" si="47"/>
        <v>424123.43030510569</v>
      </c>
      <c r="CR33" s="5">
        <f t="shared" si="47"/>
        <v>428364.66460815677</v>
      </c>
      <c r="CS33" s="5">
        <f t="shared" si="47"/>
        <v>432648.31125423836</v>
      </c>
      <c r="CT33" s="5">
        <f t="shared" si="47"/>
        <v>436974.79436678073</v>
      </c>
      <c r="CU33" s="5">
        <f t="shared" si="47"/>
        <v>441344.54231044854</v>
      </c>
      <c r="CV33" s="5">
        <f t="shared" si="47"/>
        <v>445757.98773355305</v>
      </c>
      <c r="CW33" s="5">
        <f t="shared" si="47"/>
        <v>450215.56761088857</v>
      </c>
      <c r="CX33" s="5">
        <f t="shared" si="47"/>
        <v>454717.72328699747</v>
      </c>
      <c r="CY33" s="5">
        <f t="shared" si="47"/>
        <v>459264.90051986743</v>
      </c>
      <c r="CZ33" s="5">
        <f t="shared" si="47"/>
        <v>463857.5495250661</v>
      </c>
      <c r="DA33" s="5">
        <f t="shared" si="47"/>
        <v>468496.12502031674</v>
      </c>
      <c r="DB33" s="5">
        <f t="shared" si="47"/>
        <v>473181.08627051994</v>
      </c>
      <c r="DC33" s="5">
        <f t="shared" si="47"/>
        <v>477912.89713322517</v>
      </c>
      <c r="DD33" s="5">
        <f t="shared" si="47"/>
        <v>482692.02610455744</v>
      </c>
      <c r="DE33" s="5">
        <f t="shared" si="47"/>
        <v>487518.94636560301</v>
      </c>
      <c r="DF33" s="5">
        <f t="shared" si="47"/>
        <v>492394.13582925906</v>
      </c>
      <c r="DG33" s="5">
        <f t="shared" si="47"/>
        <v>497318.07718755165</v>
      </c>
      <c r="DH33" s="5">
        <f t="shared" si="47"/>
        <v>502291.2579594272</v>
      </c>
      <c r="DI33" s="5">
        <f t="shared" si="47"/>
        <v>507314.17053902149</v>
      </c>
      <c r="DJ33" s="5">
        <f t="shared" si="47"/>
        <v>512387.31224441173</v>
      </c>
      <c r="DK33" s="5">
        <f t="shared" si="47"/>
        <v>517511.18536685588</v>
      </c>
      <c r="DL33" s="5">
        <f t="shared" si="47"/>
        <v>522686.29722052446</v>
      </c>
      <c r="DM33" s="5">
        <f t="shared" si="47"/>
        <v>527913.16019272967</v>
      </c>
      <c r="DN33" s="5">
        <f t="shared" si="47"/>
        <v>533192.29179465701</v>
      </c>
      <c r="DO33" s="5">
        <f t="shared" si="47"/>
        <v>538524.2147126036</v>
      </c>
      <c r="DP33" s="5">
        <f t="shared" si="47"/>
        <v>543909.4568597296</v>
      </c>
      <c r="DQ33" s="5">
        <f t="shared" si="47"/>
        <v>549348.55142832687</v>
      </c>
      <c r="DR33" s="5">
        <f t="shared" ref="DR33:EW33" si="48">DQ33*(1+$AB$94)</f>
        <v>554842.03694261017</v>
      </c>
      <c r="DS33" s="5">
        <f t="shared" si="48"/>
        <v>560390.45731203631</v>
      </c>
      <c r="DT33" s="5">
        <f t="shared" si="48"/>
        <v>565994.36188515672</v>
      </c>
      <c r="DU33" s="5">
        <f t="shared" si="48"/>
        <v>571654.30550400831</v>
      </c>
      <c r="DV33" s="5">
        <f t="shared" si="48"/>
        <v>577370.84855904838</v>
      </c>
      <c r="DW33" s="5">
        <f t="shared" si="48"/>
        <v>583144.5570446389</v>
      </c>
      <c r="DX33" s="5">
        <f t="shared" si="48"/>
        <v>588976.00261508534</v>
      </c>
      <c r="DY33" s="5">
        <f t="shared" si="48"/>
        <v>594865.76264123619</v>
      </c>
      <c r="DZ33" s="5">
        <f t="shared" si="48"/>
        <v>600814.42026764853</v>
      </c>
      <c r="EA33" s="5">
        <f t="shared" si="48"/>
        <v>606822.56447032501</v>
      </c>
      <c r="EB33" s="5">
        <f t="shared" si="48"/>
        <v>612890.79011502827</v>
      </c>
      <c r="EC33" s="5">
        <f t="shared" si="48"/>
        <v>619019.69801617856</v>
      </c>
      <c r="ED33" s="5">
        <f t="shared" si="48"/>
        <v>625209.89499634039</v>
      </c>
      <c r="EE33" s="5">
        <f t="shared" si="48"/>
        <v>631461.99394630385</v>
      </c>
      <c r="EF33" s="5">
        <f t="shared" si="48"/>
        <v>637776.61388576694</v>
      </c>
      <c r="EG33" s="5">
        <f t="shared" si="48"/>
        <v>644154.38002462464</v>
      </c>
      <c r="EH33" s="5">
        <f t="shared" si="48"/>
        <v>650595.92382487084</v>
      </c>
      <c r="EI33" s="5">
        <f t="shared" si="48"/>
        <v>657101.8830631196</v>
      </c>
      <c r="EJ33" s="5">
        <f t="shared" si="48"/>
        <v>663672.90189375076</v>
      </c>
      <c r="EK33" s="5">
        <f t="shared" si="48"/>
        <v>670309.63091268833</v>
      </c>
      <c r="EL33" s="5">
        <f t="shared" si="48"/>
        <v>677012.72722181526</v>
      </c>
      <c r="EM33" s="5">
        <f t="shared" si="48"/>
        <v>683782.85449403338</v>
      </c>
      <c r="EN33" s="5">
        <f t="shared" si="48"/>
        <v>690620.68303897372</v>
      </c>
      <c r="EO33" s="5">
        <f t="shared" si="48"/>
        <v>697526.88986936351</v>
      </c>
      <c r="EP33" s="5">
        <f t="shared" si="48"/>
        <v>704502.15876805712</v>
      </c>
      <c r="EQ33" s="5">
        <f t="shared" si="48"/>
        <v>711547.18035573768</v>
      </c>
      <c r="ER33" s="5">
        <f t="shared" si="48"/>
        <v>718662.65215929504</v>
      </c>
      <c r="ES33" s="5">
        <f t="shared" si="48"/>
        <v>725849.278680888</v>
      </c>
      <c r="ET33" s="5">
        <f t="shared" si="48"/>
        <v>733107.77146769688</v>
      </c>
      <c r="EU33" s="5">
        <f t="shared" si="48"/>
        <v>740438.84918237384</v>
      </c>
      <c r="EV33" s="5">
        <f t="shared" si="48"/>
        <v>747843.23767419753</v>
      </c>
      <c r="EW33" s="5">
        <f t="shared" si="48"/>
        <v>755321.67005093955</v>
      </c>
      <c r="EX33" s="5">
        <f t="shared" ref="EX33:GC33" si="49">EW33*(1+$AB$94)</f>
        <v>762874.88675144897</v>
      </c>
      <c r="EY33" s="5">
        <f t="shared" si="49"/>
        <v>770503.63561896351</v>
      </c>
      <c r="EZ33" s="5">
        <f t="shared" si="49"/>
        <v>778208.67197515315</v>
      </c>
      <c r="FA33" s="5">
        <f t="shared" si="49"/>
        <v>785990.75869490474</v>
      </c>
      <c r="FB33" s="5">
        <f t="shared" si="49"/>
        <v>793850.6662818538</v>
      </c>
      <c r="FC33" s="5">
        <f t="shared" si="49"/>
        <v>801789.17294467241</v>
      </c>
      <c r="FD33" s="5">
        <f t="shared" si="49"/>
        <v>809807.06467411912</v>
      </c>
      <c r="FE33" s="5">
        <f t="shared" si="49"/>
        <v>817905.13532086031</v>
      </c>
      <c r="FF33" s="5">
        <f t="shared" si="49"/>
        <v>826084.18667406891</v>
      </c>
      <c r="FG33" s="5">
        <f t="shared" si="49"/>
        <v>834345.02854080964</v>
      </c>
      <c r="FH33" s="5">
        <f t="shared" si="49"/>
        <v>842688.4788262177</v>
      </c>
      <c r="FI33" s="5">
        <f t="shared" si="49"/>
        <v>851115.36361447989</v>
      </c>
      <c r="FJ33" s="5">
        <f t="shared" si="49"/>
        <v>859626.51725062472</v>
      </c>
      <c r="FK33" s="5">
        <f t="shared" si="49"/>
        <v>868222.78242313094</v>
      </c>
      <c r="FL33" s="5">
        <f t="shared" si="49"/>
        <v>876905.0102473622</v>
      </c>
      <c r="FM33" s="5">
        <f t="shared" si="49"/>
        <v>885674.06034983578</v>
      </c>
      <c r="FN33" s="5">
        <f t="shared" si="49"/>
        <v>894530.8009533342</v>
      </c>
      <c r="FO33" s="5">
        <f t="shared" si="49"/>
        <v>903476.10896286753</v>
      </c>
      <c r="FP33" s="5">
        <f t="shared" si="49"/>
        <v>912510.8700524962</v>
      </c>
      <c r="FQ33" s="5">
        <f t="shared" si="49"/>
        <v>921635.97875302122</v>
      </c>
      <c r="FR33" s="5">
        <f t="shared" si="49"/>
        <v>930852.33854055149</v>
      </c>
      <c r="FS33" s="5">
        <f t="shared" si="49"/>
        <v>940160.86192595703</v>
      </c>
      <c r="FT33" s="5">
        <f t="shared" si="49"/>
        <v>949562.47054521658</v>
      </c>
      <c r="FU33" s="5">
        <f t="shared" si="49"/>
        <v>959058.0952506687</v>
      </c>
      <c r="FV33" s="5">
        <f t="shared" si="49"/>
        <v>968648.67620317545</v>
      </c>
      <c r="FW33" s="5">
        <f t="shared" si="49"/>
        <v>978335.16296520724</v>
      </c>
      <c r="FX33" s="5">
        <f t="shared" si="49"/>
        <v>988118.51459485933</v>
      </c>
      <c r="FY33" s="5">
        <f t="shared" si="49"/>
        <v>997999.69974080788</v>
      </c>
      <c r="FZ33" s="5">
        <f t="shared" si="49"/>
        <v>1007979.696738216</v>
      </c>
      <c r="GA33" s="5">
        <f t="shared" si="49"/>
        <v>1018059.4937055982</v>
      </c>
      <c r="GB33" s="5">
        <f t="shared" si="49"/>
        <v>1028240.0886426541</v>
      </c>
      <c r="GC33" s="5">
        <f t="shared" si="49"/>
        <v>1038522.4895290807</v>
      </c>
      <c r="GD33" s="5">
        <f t="shared" ref="GD33:HK33" si="50">GC33*(1+$AB$94)</f>
        <v>1048907.7144243715</v>
      </c>
      <c r="GE33" s="5">
        <f t="shared" si="50"/>
        <v>1059396.7915686152</v>
      </c>
      <c r="GF33" s="5">
        <f t="shared" si="50"/>
        <v>1069990.7594843013</v>
      </c>
      <c r="GG33" s="5">
        <f t="shared" si="50"/>
        <v>1080690.6670791444</v>
      </c>
      <c r="GH33" s="5">
        <f t="shared" si="50"/>
        <v>1091497.573749936</v>
      </c>
      <c r="GI33" s="5">
        <f t="shared" si="50"/>
        <v>1102412.5494874353</v>
      </c>
      <c r="GJ33" s="5">
        <f t="shared" si="50"/>
        <v>1113436.6749823096</v>
      </c>
      <c r="GK33" s="5">
        <f t="shared" si="50"/>
        <v>1124571.0417321327</v>
      </c>
      <c r="GL33" s="5">
        <f t="shared" si="50"/>
        <v>1135816.7521494541</v>
      </c>
      <c r="GM33" s="5">
        <f t="shared" si="50"/>
        <v>1147174.9196709485</v>
      </c>
      <c r="GN33" s="5">
        <f t="shared" si="50"/>
        <v>1158646.6688676581</v>
      </c>
      <c r="GO33" s="5">
        <f t="shared" si="50"/>
        <v>1170233.1355563346</v>
      </c>
      <c r="GP33" s="5">
        <f t="shared" si="50"/>
        <v>1181935.466911898</v>
      </c>
      <c r="GQ33" s="5">
        <f t="shared" si="50"/>
        <v>1193754.821581017</v>
      </c>
      <c r="GR33" s="5">
        <f t="shared" si="50"/>
        <v>1205692.3697968272</v>
      </c>
      <c r="GS33" s="5">
        <f t="shared" si="50"/>
        <v>1217749.2934947954</v>
      </c>
      <c r="GT33" s="5">
        <f t="shared" si="50"/>
        <v>1229926.7864297435</v>
      </c>
      <c r="GU33" s="5">
        <f t="shared" si="50"/>
        <v>1242226.0542940409</v>
      </c>
      <c r="GV33" s="5">
        <f t="shared" si="50"/>
        <v>1254648.3148369812</v>
      </c>
      <c r="GW33" s="5">
        <f t="shared" si="50"/>
        <v>1267194.7979853512</v>
      </c>
      <c r="GX33" s="5">
        <f t="shared" si="50"/>
        <v>1279866.7459652047</v>
      </c>
      <c r="GY33" s="5">
        <f t="shared" si="50"/>
        <v>1292665.4134248567</v>
      </c>
      <c r="GZ33" s="5">
        <f t="shared" si="50"/>
        <v>1305592.0675591053</v>
      </c>
      <c r="HA33" s="5">
        <f t="shared" si="50"/>
        <v>1318647.9882346964</v>
      </c>
      <c r="HB33" s="5">
        <f t="shared" si="50"/>
        <v>1331834.4681170434</v>
      </c>
      <c r="HC33" s="5">
        <f t="shared" si="50"/>
        <v>1345152.8127982139</v>
      </c>
      <c r="HD33" s="5">
        <f t="shared" si="50"/>
        <v>1358604.340926196</v>
      </c>
      <c r="HE33" s="5">
        <f t="shared" si="50"/>
        <v>1372190.384335458</v>
      </c>
      <c r="HF33" s="5">
        <f t="shared" si="50"/>
        <v>1385912.2881788127</v>
      </c>
      <c r="HG33" s="5">
        <f t="shared" si="50"/>
        <v>1399771.4110606008</v>
      </c>
      <c r="HH33" s="5">
        <f t="shared" si="50"/>
        <v>1413769.1251712069</v>
      </c>
      <c r="HI33" s="5">
        <f t="shared" si="50"/>
        <v>1427906.816422919</v>
      </c>
      <c r="HJ33" s="5">
        <f t="shared" si="50"/>
        <v>1442185.8845871482</v>
      </c>
      <c r="HK33" s="5">
        <f t="shared" si="50"/>
        <v>1456607.7434330196</v>
      </c>
    </row>
    <row r="34" spans="1:219" s="5" customFormat="1" x14ac:dyDescent="0.25">
      <c r="A34" s="2" t="s">
        <v>51</v>
      </c>
      <c r="B34" s="8" t="e">
        <f>B33/B35</f>
        <v>#DIV/0!</v>
      </c>
      <c r="C34" s="8">
        <f t="shared" ref="C34:F34" si="51">C33/C35</f>
        <v>1.439047320589157</v>
      </c>
      <c r="D34" s="8" t="e">
        <f t="shared" si="51"/>
        <v>#DIV/0!</v>
      </c>
      <c r="E34" s="8" t="e">
        <f t="shared" si="51"/>
        <v>#DIV/0!</v>
      </c>
      <c r="F34" s="8" t="e">
        <f t="shared" si="51"/>
        <v>#DIV/0!</v>
      </c>
      <c r="G34" s="8">
        <f>G33/G35</f>
        <v>1.8902761104441776</v>
      </c>
      <c r="H34" s="8">
        <f>H33/H35</f>
        <v>2.1485989706723307</v>
      </c>
      <c r="I34" s="8">
        <f>I33/I35</f>
        <v>2.1662040816326531</v>
      </c>
      <c r="J34" s="8">
        <f t="shared" ref="J34:M34" si="52">J33/J35</f>
        <v>2.1605972038190555</v>
      </c>
      <c r="K34" s="8">
        <f t="shared" si="52"/>
        <v>2.2822557188641155</v>
      </c>
      <c r="L34" s="8">
        <f t="shared" si="52"/>
        <v>2.4137865559761988</v>
      </c>
      <c r="M34" s="8">
        <f t="shared" si="52"/>
        <v>2.556153836100747</v>
      </c>
      <c r="N34" s="8"/>
      <c r="O34" s="8"/>
      <c r="P34" s="8"/>
      <c r="Q34" s="8"/>
      <c r="R34" s="8"/>
      <c r="S34" s="8"/>
      <c r="T34" s="8">
        <f t="shared" ref="T34" si="53">T33/T35</f>
        <v>8.1732244897959188</v>
      </c>
      <c r="U34" s="8">
        <f t="shared" ref="U34" si="54">U33/U35</f>
        <v>9.263782074126313</v>
      </c>
      <c r="V34" s="8">
        <f t="shared" ref="V34" si="55">V33/V35</f>
        <v>10.623567896841596</v>
      </c>
      <c r="W34" s="8">
        <f t="shared" ref="W34" si="56">W33/W35</f>
        <v>12.111328931199701</v>
      </c>
      <c r="X34" s="8">
        <f t="shared" ref="X34" si="57">X33/X35</f>
        <v>13.771659632388818</v>
      </c>
      <c r="Y34" s="8">
        <f t="shared" ref="Y34" si="58">Y33/Y35</f>
        <v>15.626407770635964</v>
      </c>
    </row>
    <row r="35" spans="1:219" s="5" customFormat="1" x14ac:dyDescent="0.25">
      <c r="A35" s="2" t="s">
        <v>2</v>
      </c>
      <c r="C35" s="2">
        <v>12764</v>
      </c>
      <c r="G35" s="2">
        <v>12495</v>
      </c>
      <c r="H35" s="2">
        <f>5843+5534+864</f>
        <v>12241</v>
      </c>
      <c r="I35" s="2">
        <v>12250</v>
      </c>
      <c r="J35" s="2">
        <v>12250</v>
      </c>
      <c r="K35" s="2">
        <v>12250</v>
      </c>
      <c r="L35" s="2">
        <v>12250</v>
      </c>
      <c r="M35" s="2">
        <v>12250</v>
      </c>
      <c r="O35" s="2"/>
      <c r="T35" s="2">
        <v>12250</v>
      </c>
      <c r="U35" s="2">
        <f>T35*1.02</f>
        <v>12495</v>
      </c>
      <c r="V35" s="2">
        <f t="shared" ref="V35:Y35" si="59">U35*1.02</f>
        <v>12744.9</v>
      </c>
      <c r="W35" s="2">
        <f t="shared" si="59"/>
        <v>12999.798000000001</v>
      </c>
      <c r="X35" s="2">
        <f t="shared" si="59"/>
        <v>13259.793960000001</v>
      </c>
      <c r="Y35" s="2">
        <f t="shared" si="59"/>
        <v>13524.989839200001</v>
      </c>
    </row>
    <row r="36" spans="1:219" s="5" customFormat="1" x14ac:dyDescent="0.25">
      <c r="O36" s="2"/>
      <c r="T36" s="2"/>
      <c r="U36" s="2"/>
      <c r="V36" s="2"/>
      <c r="W36" s="2"/>
      <c r="X36" s="2"/>
      <c r="Y36" s="2"/>
    </row>
    <row r="37" spans="1:219" x14ac:dyDescent="0.25">
      <c r="A37" s="5" t="s">
        <v>43</v>
      </c>
      <c r="B37" s="5"/>
      <c r="C37" s="5"/>
      <c r="D37" s="5"/>
      <c r="E37" s="5"/>
      <c r="F37" s="6">
        <f t="shared" ref="F37:M37" si="60">F21/B21-1</f>
        <v>0.15406880937710454</v>
      </c>
      <c r="G37" s="6">
        <f t="shared" si="60"/>
        <v>0.13589083695244231</v>
      </c>
      <c r="H37" s="6">
        <f t="shared" si="60"/>
        <v>0.15092642092498654</v>
      </c>
      <c r="I37" s="6">
        <f t="shared" si="60"/>
        <v>0.11770362646275045</v>
      </c>
      <c r="J37" s="6">
        <f t="shared" si="60"/>
        <v>0.24200350140925542</v>
      </c>
      <c r="K37" s="6">
        <f t="shared" si="60"/>
        <v>0.2253214722333674</v>
      </c>
      <c r="L37" s="6">
        <f t="shared" si="60"/>
        <v>0.22254095257624518</v>
      </c>
      <c r="M37" s="6">
        <f t="shared" si="60"/>
        <v>0.16389989581461406</v>
      </c>
      <c r="N37" s="6"/>
      <c r="O37" s="6"/>
      <c r="P37" s="6">
        <f t="shared" ref="P37:Y37" si="61">P21/O21-1</f>
        <v>0.12770532012826141</v>
      </c>
      <c r="Q37" s="6">
        <f t="shared" si="61"/>
        <v>0.41150076427049154</v>
      </c>
      <c r="R37" s="6">
        <f t="shared" si="61"/>
        <v>9.7808156437157789E-2</v>
      </c>
      <c r="S37" s="6">
        <f t="shared" si="61"/>
        <v>8.6827702272695095E-2</v>
      </c>
      <c r="T37" s="6">
        <f t="shared" si="61"/>
        <v>0.13866243322901561</v>
      </c>
      <c r="U37" s="6">
        <f t="shared" si="61"/>
        <v>0.2115303100164565</v>
      </c>
      <c r="V37" s="6">
        <f t="shared" si="61"/>
        <v>0.10548272747772702</v>
      </c>
      <c r="W37" s="6">
        <f t="shared" si="61"/>
        <v>0.10720605864061317</v>
      </c>
      <c r="X37" s="6">
        <f t="shared" si="61"/>
        <v>0.10900079004340024</v>
      </c>
      <c r="Y37" s="6">
        <f t="shared" si="61"/>
        <v>0.11086849485920047</v>
      </c>
    </row>
    <row r="38" spans="1:219" s="5" customFormat="1" x14ac:dyDescent="0.25">
      <c r="A38" s="5" t="s">
        <v>44</v>
      </c>
      <c r="C38" s="6">
        <f t="shared" ref="C38:M38" si="62">C21/B21-1</f>
        <v>6.9024316849843004E-2</v>
      </c>
      <c r="D38" s="6">
        <f t="shared" si="62"/>
        <v>2.8001179561417677E-2</v>
      </c>
      <c r="E38" s="6">
        <f t="shared" si="62"/>
        <v>0.12539605961430644</v>
      </c>
      <c r="F38" s="6">
        <f t="shared" si="62"/>
        <v>-6.6863631097207721E-2</v>
      </c>
      <c r="G38" s="6">
        <f t="shared" si="62"/>
        <v>5.218589751548941E-2</v>
      </c>
      <c r="H38" s="6">
        <f t="shared" si="62"/>
        <v>4.1608647423945655E-2</v>
      </c>
      <c r="I38" s="6">
        <f t="shared" si="62"/>
        <v>9.2910227942176071E-2</v>
      </c>
      <c r="J38" s="6">
        <f t="shared" si="62"/>
        <v>3.6910510112056816E-2</v>
      </c>
      <c r="K38" s="6">
        <f t="shared" si="62"/>
        <v>3.8053412525797414E-2</v>
      </c>
      <c r="L38" s="6">
        <f t="shared" si="62"/>
        <v>3.9245011933324525E-2</v>
      </c>
      <c r="M38" s="6">
        <f t="shared" si="62"/>
        <v>4.0487108228215218E-2</v>
      </c>
      <c r="N38" s="6"/>
      <c r="Q38" s="6"/>
      <c r="R38" s="6"/>
      <c r="S38" s="6"/>
      <c r="T38" s="6"/>
      <c r="U38" s="6"/>
      <c r="V38" s="6"/>
      <c r="W38" s="6"/>
      <c r="X38" s="6"/>
      <c r="Y38" s="6"/>
      <c r="AB38" s="6"/>
    </row>
    <row r="39" spans="1:219" x14ac:dyDescent="0.25">
      <c r="A39" s="2" t="s">
        <v>45</v>
      </c>
      <c r="B39" s="3">
        <f t="shared" ref="B39:M39" si="63">B33/B21</f>
        <v>0.21567054035851949</v>
      </c>
      <c r="C39" s="3">
        <f t="shared" si="63"/>
        <v>0.2462066377137955</v>
      </c>
      <c r="D39" s="3">
        <f t="shared" si="63"/>
        <v>0.25672486406842865</v>
      </c>
      <c r="E39" s="3">
        <f t="shared" si="63"/>
        <v>0.23968253968253969</v>
      </c>
      <c r="F39" s="3">
        <f t="shared" si="63"/>
        <v>0.29379555246526529</v>
      </c>
      <c r="G39" s="3">
        <f t="shared" si="63"/>
        <v>0.27871657501593072</v>
      </c>
      <c r="H39" s="3">
        <f t="shared" si="63"/>
        <v>0.29796755336022113</v>
      </c>
      <c r="I39" s="3">
        <f t="shared" si="63"/>
        <v>0.27507282132083882</v>
      </c>
      <c r="J39" s="3">
        <f t="shared" si="63"/>
        <v>0.26459451997649724</v>
      </c>
      <c r="K39" s="3">
        <f t="shared" si="63"/>
        <v>0.26924747492893336</v>
      </c>
      <c r="L39" s="3">
        <f t="shared" si="63"/>
        <v>0.27401115949466293</v>
      </c>
      <c r="M39" s="3">
        <f t="shared" si="63"/>
        <v>0.27888147709450989</v>
      </c>
      <c r="N39" s="3"/>
      <c r="O39" s="3">
        <f t="shared" ref="O39:Y39" si="64">O33/O21</f>
        <v>0.21218112284300339</v>
      </c>
      <c r="P39" s="3">
        <f t="shared" si="64"/>
        <v>0.22061941520980458</v>
      </c>
      <c r="Q39" s="3">
        <f t="shared" si="64"/>
        <v>0.24846198333313926</v>
      </c>
      <c r="R39" s="3">
        <f t="shared" si="64"/>
        <v>0.2244622325305124</v>
      </c>
      <c r="S39" s="3">
        <f t="shared" si="64"/>
        <v>0.24065206217427795</v>
      </c>
      <c r="T39" s="3">
        <f t="shared" si="64"/>
        <v>0.28604814609534368</v>
      </c>
      <c r="U39" s="3">
        <f t="shared" si="64"/>
        <v>0.27296057711721394</v>
      </c>
      <c r="V39" s="3">
        <f t="shared" si="64"/>
        <v>0.28882195679460532</v>
      </c>
      <c r="W39" s="3">
        <f t="shared" si="64"/>
        <v>0.30333556001734113</v>
      </c>
      <c r="X39" s="3">
        <f t="shared" si="64"/>
        <v>0.31723867193545924</v>
      </c>
      <c r="Y39" s="3">
        <f t="shared" si="64"/>
        <v>0.33051906639846518</v>
      </c>
    </row>
    <row r="40" spans="1:219" x14ac:dyDescent="0.25">
      <c r="A40" s="5" t="s">
        <v>18</v>
      </c>
      <c r="B40" s="6">
        <f t="shared" ref="B40:M40" si="65">B23/B21</f>
        <v>0.56135096794531936</v>
      </c>
      <c r="C40" s="6">
        <f t="shared" si="65"/>
        <v>0.5721945204010509</v>
      </c>
      <c r="D40" s="6">
        <f t="shared" si="65"/>
        <v>0.56672708069836886</v>
      </c>
      <c r="E40" s="6">
        <f t="shared" si="65"/>
        <v>0.56465067778936395</v>
      </c>
      <c r="F40" s="6">
        <f t="shared" si="65"/>
        <v>0.58142018152696207</v>
      </c>
      <c r="G40" s="6">
        <f t="shared" si="65"/>
        <v>0.58099879634655782</v>
      </c>
      <c r="H40" s="6">
        <f t="shared" si="65"/>
        <v>0.58678116644763678</v>
      </c>
      <c r="I40" s="6">
        <f t="shared" si="65"/>
        <v>0.5790046543449191</v>
      </c>
      <c r="J40" s="6">
        <f t="shared" si="65"/>
        <v>0.5790046543449191</v>
      </c>
      <c r="K40" s="6">
        <f t="shared" si="65"/>
        <v>0.5790046543449191</v>
      </c>
      <c r="L40" s="6">
        <f t="shared" si="65"/>
        <v>0.5790046543449191</v>
      </c>
      <c r="M40" s="6">
        <f t="shared" si="65"/>
        <v>0.5790046543449191</v>
      </c>
      <c r="N40" s="6"/>
      <c r="O40" s="6">
        <f t="shared" ref="O40:T40" si="66">O23/O21</f>
        <v>0.5558054331910266</v>
      </c>
      <c r="P40" s="6">
        <f t="shared" si="66"/>
        <v>0.53578374706207854</v>
      </c>
      <c r="Q40" s="6">
        <f t="shared" si="66"/>
        <v>0.5693980290098084</v>
      </c>
      <c r="R40" s="6">
        <f t="shared" si="66"/>
        <v>0.55379442503783116</v>
      </c>
      <c r="S40" s="6">
        <f t="shared" si="66"/>
        <v>0.56625047984020505</v>
      </c>
      <c r="T40" s="6">
        <f t="shared" si="66"/>
        <v>0.58201578204549476</v>
      </c>
      <c r="U40" s="6">
        <v>0.57999999999999996</v>
      </c>
      <c r="V40" s="6">
        <v>0.57999999999999996</v>
      </c>
      <c r="W40" s="6">
        <v>0.57999999999999996</v>
      </c>
      <c r="X40" s="6">
        <v>0.57999999999999996</v>
      </c>
      <c r="Y40" s="6">
        <v>0.57999999999999996</v>
      </c>
    </row>
    <row r="41" spans="1:219" x14ac:dyDescent="0.25">
      <c r="A41" s="2" t="s">
        <v>19</v>
      </c>
      <c r="B41" s="3">
        <f t="shared" ref="B41:M41" si="67">B28/B21</f>
        <v>0.24954504420594092</v>
      </c>
      <c r="C41" s="3">
        <f t="shared" si="67"/>
        <v>0.29271888906761029</v>
      </c>
      <c r="D41" s="3">
        <f t="shared" si="67"/>
        <v>0.27829136948613303</v>
      </c>
      <c r="E41" s="3">
        <f t="shared" si="67"/>
        <v>0.27455683003128256</v>
      </c>
      <c r="F41" s="3">
        <f t="shared" si="67"/>
        <v>0.31626913669154072</v>
      </c>
      <c r="G41" s="3">
        <f t="shared" si="67"/>
        <v>0.32362936914398999</v>
      </c>
      <c r="H41" s="3">
        <f t="shared" si="67"/>
        <v>0.32311823084243441</v>
      </c>
      <c r="I41" s="3">
        <f t="shared" si="67"/>
        <v>0.32105650519856122</v>
      </c>
      <c r="J41" s="3">
        <f t="shared" si="67"/>
        <v>0.32665990120555216</v>
      </c>
      <c r="K41" s="3">
        <f t="shared" si="67"/>
        <v>0.3324042900357202</v>
      </c>
      <c r="L41" s="3">
        <f t="shared" si="67"/>
        <v>0.33828538209217646</v>
      </c>
      <c r="M41" s="3">
        <f t="shared" si="67"/>
        <v>0.34429811986976527</v>
      </c>
      <c r="N41" s="3"/>
      <c r="O41" s="3">
        <f t="shared" ref="O41:Y41" si="68">O28/O21</f>
        <v>0.21148915400631421</v>
      </c>
      <c r="P41" s="3">
        <f t="shared" si="68"/>
        <v>0.22585151785763202</v>
      </c>
      <c r="Q41" s="3">
        <f t="shared" si="68"/>
        <v>0.3055228868524319</v>
      </c>
      <c r="R41" s="3">
        <f t="shared" si="68"/>
        <v>0.26461270842467011</v>
      </c>
      <c r="S41" s="3">
        <f t="shared" si="68"/>
        <v>0.27480367216015927</v>
      </c>
      <c r="T41" s="3">
        <f t="shared" si="68"/>
        <v>0.32110920009828064</v>
      </c>
      <c r="U41" s="3">
        <f t="shared" si="68"/>
        <v>0.32975194740554786</v>
      </c>
      <c r="V41" s="3">
        <f t="shared" si="68"/>
        <v>0.3364851217836175</v>
      </c>
      <c r="W41" s="3">
        <f t="shared" si="68"/>
        <v>0.34199306364562509</v>
      </c>
      <c r="X41" s="3">
        <f t="shared" si="68"/>
        <v>0.34727800605203868</v>
      </c>
      <c r="Y41" s="3">
        <f t="shared" si="68"/>
        <v>0.35234654411721777</v>
      </c>
    </row>
    <row r="42" spans="1:219" x14ac:dyDescent="0.25">
      <c r="A42" s="2" t="s">
        <v>32</v>
      </c>
      <c r="B42" s="3">
        <f t="shared" ref="B42:I42" si="69">B32/B31</f>
        <v>0.17324910738808019</v>
      </c>
      <c r="C42" s="3">
        <f t="shared" si="69"/>
        <v>0.16139341642697347</v>
      </c>
      <c r="D42" s="3">
        <f t="shared" si="69"/>
        <v>7.1142142756050381E-2</v>
      </c>
      <c r="E42" s="3">
        <f t="shared" si="69"/>
        <v>0.15258889070948714</v>
      </c>
      <c r="F42" s="3">
        <f t="shared" si="69"/>
        <v>0.16432986049796927</v>
      </c>
      <c r="G42" s="3">
        <f t="shared" si="69"/>
        <v>0.14271714275343908</v>
      </c>
      <c r="H42" s="3">
        <f t="shared" si="69"/>
        <v>0.17047246577934777</v>
      </c>
      <c r="I42" s="3">
        <f t="shared" si="69"/>
        <v>0.17699965884067859</v>
      </c>
      <c r="J42" s="3">
        <v>0.19</v>
      </c>
      <c r="K42" s="3">
        <v>0.19</v>
      </c>
      <c r="L42" s="3">
        <v>0.19</v>
      </c>
      <c r="M42" s="3">
        <v>0.19</v>
      </c>
      <c r="N42" s="3"/>
      <c r="O42" s="3">
        <f t="shared" ref="O42:T42" si="70">O32/O31</f>
        <v>0.13329968454258675</v>
      </c>
      <c r="P42" s="3">
        <f t="shared" si="70"/>
        <v>0.16249324071378063</v>
      </c>
      <c r="Q42" s="3">
        <f t="shared" si="70"/>
        <v>0.18676474324770689</v>
      </c>
      <c r="R42" s="3">
        <f t="shared" si="70"/>
        <v>0.15173298415328293</v>
      </c>
      <c r="S42" s="3">
        <f t="shared" si="70"/>
        <v>0.13879413716427816</v>
      </c>
      <c r="T42" s="3">
        <f t="shared" si="70"/>
        <v>0.16438962101169263</v>
      </c>
      <c r="U42" s="3">
        <v>0.21</v>
      </c>
      <c r="V42" s="3">
        <v>0.21</v>
      </c>
      <c r="W42" s="3">
        <v>0.21</v>
      </c>
      <c r="X42" s="3">
        <v>0.21</v>
      </c>
      <c r="Y42" s="3">
        <v>0.21</v>
      </c>
    </row>
    <row r="44" spans="1:219" x14ac:dyDescent="0.25">
      <c r="A44" s="2" t="s">
        <v>108</v>
      </c>
      <c r="C44" s="3">
        <f>C18/B18-1</f>
        <v>6.9785833023998878E-2</v>
      </c>
      <c r="D44" s="3">
        <f t="shared" ref="D44:Y44" si="71">D18/C18-1</f>
        <v>2.5661914460285207E-2</v>
      </c>
      <c r="E44" s="3">
        <f t="shared" si="71"/>
        <v>0.12245168122848815</v>
      </c>
      <c r="F44" s="3">
        <f t="shared" si="71"/>
        <v>-7.7485552541573299E-2</v>
      </c>
      <c r="G44" s="3">
        <f t="shared" si="71"/>
        <v>5.014346998494279E-2</v>
      </c>
      <c r="H44" s="3">
        <f t="shared" si="71"/>
        <v>3.4925873823179243E-2</v>
      </c>
      <c r="I44" s="3">
        <f t="shared" si="71"/>
        <v>9.9124297477453993E-2</v>
      </c>
      <c r="J44" s="3">
        <f t="shared" si="71"/>
        <v>2.5132827550122583E-2</v>
      </c>
      <c r="K44" s="3">
        <f t="shared" si="71"/>
        <v>2.5366026072899617E-2</v>
      </c>
      <c r="L44" s="3">
        <f t="shared" si="71"/>
        <v>2.5591288005568869E-2</v>
      </c>
      <c r="M44" s="3">
        <f t="shared" si="71"/>
        <v>2.5808840409976996E-2</v>
      </c>
      <c r="N44" s="3"/>
      <c r="O44" s="3"/>
      <c r="P44" s="3">
        <f t="shared" si="71"/>
        <v>0.12770532012826141</v>
      </c>
      <c r="Q44" s="3">
        <f t="shared" si="71"/>
        <v>0.41150076427049154</v>
      </c>
      <c r="R44" s="3">
        <f t="shared" si="71"/>
        <v>-1.5948796174462543E-2</v>
      </c>
      <c r="S44" s="3">
        <f t="shared" si="71"/>
        <v>7.5001577735003711E-2</v>
      </c>
      <c r="T44" s="3">
        <f t="shared" si="71"/>
        <v>0.11883262457667221</v>
      </c>
      <c r="U44" s="3">
        <f t="shared" si="71"/>
        <v>0.17487386883002665</v>
      </c>
      <c r="V44" s="3">
        <f t="shared" si="71"/>
        <v>8.8879837467271905E-2</v>
      </c>
      <c r="W44" s="3">
        <f t="shared" si="71"/>
        <v>8.9217872345642713E-2</v>
      </c>
      <c r="X44" s="3">
        <f t="shared" si="71"/>
        <v>8.954234627926061E-2</v>
      </c>
      <c r="Y44" s="3">
        <f t="shared" si="71"/>
        <v>8.9853788915995159E-2</v>
      </c>
      <c r="AB44" s="8"/>
    </row>
    <row r="45" spans="1:219" x14ac:dyDescent="0.25">
      <c r="A45" s="2" t="s">
        <v>38</v>
      </c>
      <c r="C45" s="3">
        <f>C19/B19-1</f>
        <v>7.7408103031929132E-2</v>
      </c>
      <c r="D45" s="3">
        <f t="shared" ref="D45:M45" si="72">D19/C19-1</f>
        <v>4.731664798904256E-2</v>
      </c>
      <c r="E45" s="3">
        <f t="shared" si="72"/>
        <v>9.2854595172987775E-2</v>
      </c>
      <c r="F45" s="3">
        <f t="shared" si="72"/>
        <v>4.155787641427322E-2</v>
      </c>
      <c r="G45" s="3">
        <f t="shared" si="72"/>
        <v>8.0739502820137865E-2</v>
      </c>
      <c r="H45" s="3">
        <f t="shared" si="72"/>
        <v>9.7226249154344302E-2</v>
      </c>
      <c r="I45" s="3">
        <f t="shared" si="72"/>
        <v>5.3025631991544087E-2</v>
      </c>
      <c r="J45" s="3">
        <f t="shared" si="72"/>
        <v>0.12000000000000011</v>
      </c>
      <c r="K45" s="3">
        <f t="shared" si="72"/>
        <v>0.12000000000000011</v>
      </c>
      <c r="L45" s="3">
        <f t="shared" si="72"/>
        <v>0.12000000000000011</v>
      </c>
      <c r="M45" s="3">
        <f t="shared" si="72"/>
        <v>0.12000000000000011</v>
      </c>
      <c r="N45" s="3"/>
      <c r="O45" s="3"/>
      <c r="P45" s="3"/>
      <c r="Q45" s="3"/>
      <c r="R45" s="3"/>
      <c r="S45" s="3">
        <f t="shared" ref="S45:Y45" si="73">S19/R19-1</f>
        <v>0.25905631659056327</v>
      </c>
      <c r="T45" s="3">
        <f t="shared" si="73"/>
        <v>0.30648573500967125</v>
      </c>
      <c r="U45" s="3">
        <f t="shared" si="73"/>
        <v>0.48033242010687305</v>
      </c>
      <c r="V45" s="3">
        <f t="shared" si="73"/>
        <v>0.19999999999999996</v>
      </c>
      <c r="W45" s="3">
        <f t="shared" si="73"/>
        <v>0.19999999999999996</v>
      </c>
      <c r="X45" s="3">
        <f t="shared" si="73"/>
        <v>0.19999999999999996</v>
      </c>
      <c r="Y45" s="3">
        <f t="shared" si="73"/>
        <v>0.19999999999999996</v>
      </c>
      <c r="AB45" s="8"/>
    </row>
    <row r="46" spans="1:219" x14ac:dyDescent="0.25">
      <c r="A46" s="2" t="s">
        <v>53</v>
      </c>
      <c r="B46" s="3">
        <f t="shared" ref="B46:M46" si="74">B19/B21</f>
        <v>0.10681072406035508</v>
      </c>
      <c r="C46" s="3">
        <f t="shared" si="74"/>
        <v>0.10764838346469358</v>
      </c>
      <c r="D46" s="3">
        <f t="shared" si="74"/>
        <v>0.10967102603888229</v>
      </c>
      <c r="E46" s="3">
        <f t="shared" si="74"/>
        <v>0.10649982620785541</v>
      </c>
      <c r="F46" s="3">
        <f t="shared" si="74"/>
        <v>0.11887408584660848</v>
      </c>
      <c r="G46" s="3">
        <f t="shared" si="74"/>
        <v>0.1221000212409431</v>
      </c>
      <c r="H46" s="3">
        <f t="shared" si="74"/>
        <v>0.12861965831331854</v>
      </c>
      <c r="I46" s="3">
        <f t="shared" si="74"/>
        <v>0.12392582072997543</v>
      </c>
      <c r="J46" s="3">
        <f t="shared" si="74"/>
        <v>0.13385621793203059</v>
      </c>
      <c r="K46" s="3">
        <f t="shared" si="74"/>
        <v>0.14442316963159982</v>
      </c>
      <c r="L46" s="3">
        <f t="shared" si="74"/>
        <v>0.15564563517748164</v>
      </c>
      <c r="M46" s="3">
        <f t="shared" si="74"/>
        <v>0.16753990512734379</v>
      </c>
      <c r="O46" s="3">
        <f t="shared" ref="O46:Y46" si="75">O19/O21</f>
        <v>0</v>
      </c>
      <c r="P46" s="3">
        <f t="shared" si="75"/>
        <v>0</v>
      </c>
      <c r="Q46" s="3">
        <f t="shared" si="75"/>
        <v>0</v>
      </c>
      <c r="R46" s="3">
        <f t="shared" si="75"/>
        <v>9.2916036148156522E-2</v>
      </c>
      <c r="S46" s="3">
        <f t="shared" si="75"/>
        <v>0.10764035732642797</v>
      </c>
      <c r="T46" s="3">
        <f t="shared" si="75"/>
        <v>0.12350507688176036</v>
      </c>
      <c r="U46" s="3">
        <f t="shared" si="75"/>
        <v>0.15090713607765896</v>
      </c>
      <c r="V46" s="3">
        <f t="shared" si="75"/>
        <v>0.16380949135800885</v>
      </c>
      <c r="W46" s="3">
        <f t="shared" si="75"/>
        <v>0.1775382171146658</v>
      </c>
      <c r="X46" s="3">
        <f t="shared" si="75"/>
        <v>0.19210613955402281</v>
      </c>
      <c r="Y46" s="3">
        <f t="shared" si="75"/>
        <v>0.20751994365817897</v>
      </c>
    </row>
    <row r="48" spans="1:219" x14ac:dyDescent="0.25">
      <c r="A48" s="2" t="s">
        <v>84</v>
      </c>
      <c r="R48" s="2">
        <v>134814</v>
      </c>
      <c r="S48" s="2">
        <v>146286</v>
      </c>
      <c r="T48" s="2">
        <v>170447</v>
      </c>
      <c r="U48" s="3"/>
    </row>
    <row r="49" spans="1:25" x14ac:dyDescent="0.25">
      <c r="A49" s="2" t="s">
        <v>85</v>
      </c>
      <c r="R49" s="2">
        <v>82062</v>
      </c>
      <c r="S49" s="2">
        <v>91038</v>
      </c>
      <c r="T49" s="2">
        <v>102127</v>
      </c>
      <c r="U49" s="3"/>
    </row>
    <row r="50" spans="1:25" x14ac:dyDescent="0.25">
      <c r="A50" s="2" t="s">
        <v>86</v>
      </c>
      <c r="R50" s="2">
        <v>47024</v>
      </c>
      <c r="S50" s="2">
        <v>51514</v>
      </c>
      <c r="T50" s="2">
        <v>56815</v>
      </c>
    </row>
    <row r="51" spans="1:25" x14ac:dyDescent="0.25">
      <c r="A51" s="2" t="s">
        <v>87</v>
      </c>
      <c r="R51" s="2">
        <v>16976</v>
      </c>
      <c r="S51" s="2">
        <v>18320</v>
      </c>
      <c r="T51" s="2">
        <v>20418</v>
      </c>
    </row>
    <row r="53" spans="1:25" x14ac:dyDescent="0.25">
      <c r="A53" s="2" t="s">
        <v>54</v>
      </c>
      <c r="B53" s="2">
        <f t="shared" ref="B53:I53" si="76">B55-B70</f>
        <v>0</v>
      </c>
      <c r="C53" s="2">
        <f t="shared" si="76"/>
        <v>0</v>
      </c>
      <c r="D53" s="2">
        <f t="shared" si="76"/>
        <v>0</v>
      </c>
      <c r="E53" s="2">
        <f t="shared" si="76"/>
        <v>0</v>
      </c>
      <c r="F53" s="2">
        <f t="shared" si="76"/>
        <v>0</v>
      </c>
      <c r="G53" s="2">
        <f t="shared" si="76"/>
        <v>0</v>
      </c>
      <c r="H53" s="2">
        <f t="shared" si="76"/>
        <v>0</v>
      </c>
      <c r="I53" s="2">
        <f t="shared" si="76"/>
        <v>84774</v>
      </c>
      <c r="J53" s="2">
        <f>I53+J33</f>
        <v>111241.31574678342</v>
      </c>
      <c r="K53" s="2">
        <f>J53+K33</f>
        <v>139198.94830286884</v>
      </c>
      <c r="L53" s="2">
        <f>K53+L33</f>
        <v>168767.83361357727</v>
      </c>
      <c r="M53" s="2">
        <f>L53+M33</f>
        <v>200080.71810581142</v>
      </c>
      <c r="O53" s="2">
        <f t="shared" ref="O53:T53" si="77">O55-O70</f>
        <v>0</v>
      </c>
      <c r="P53" s="2">
        <f t="shared" si="77"/>
        <v>0</v>
      </c>
      <c r="Q53" s="2">
        <f t="shared" si="77"/>
        <v>0</v>
      </c>
      <c r="R53" s="2">
        <f t="shared" si="77"/>
        <v>0</v>
      </c>
      <c r="S53" s="2">
        <f t="shared" si="77"/>
        <v>99046</v>
      </c>
      <c r="T53" s="2">
        <f t="shared" si="77"/>
        <v>84774</v>
      </c>
      <c r="U53" s="2">
        <f>T53+U33</f>
        <v>200524.95701620827</v>
      </c>
      <c r="V53" s="2">
        <f>U53+V33</f>
        <v>335921.26750466472</v>
      </c>
      <c r="W53" s="2">
        <f>V53+W33</f>
        <v>493366.09712181671</v>
      </c>
      <c r="X53" s="2">
        <f>W53+X33</f>
        <v>675975.46633454179</v>
      </c>
      <c r="Y53" s="2">
        <f>X53+Y33</f>
        <v>887322.47265558923</v>
      </c>
    </row>
    <row r="55" spans="1:25" x14ac:dyDescent="0.25">
      <c r="A55" s="2" t="s">
        <v>4</v>
      </c>
      <c r="I55" s="2">
        <f>23466+72191</f>
        <v>95657</v>
      </c>
      <c r="S55" s="2">
        <f>24048+86868</f>
        <v>110916</v>
      </c>
      <c r="T55" s="2">
        <f>23466+72191</f>
        <v>95657</v>
      </c>
    </row>
    <row r="56" spans="1:25" x14ac:dyDescent="0.25">
      <c r="A56" s="2" t="s">
        <v>46</v>
      </c>
      <c r="I56" s="2">
        <v>52340</v>
      </c>
      <c r="S56" s="2">
        <v>47964</v>
      </c>
      <c r="T56" s="2">
        <v>52340</v>
      </c>
    </row>
    <row r="57" spans="1:25" x14ac:dyDescent="0.25">
      <c r="A57" s="2" t="s">
        <v>63</v>
      </c>
      <c r="I57" s="2">
        <v>37982</v>
      </c>
      <c r="S57" s="2">
        <v>31008</v>
      </c>
      <c r="T57" s="2">
        <v>37982</v>
      </c>
    </row>
    <row r="58" spans="1:25" x14ac:dyDescent="0.25">
      <c r="A58" s="2" t="s">
        <v>92</v>
      </c>
      <c r="I58" s="2">
        <v>17180</v>
      </c>
      <c r="S58" s="2">
        <v>12169</v>
      </c>
      <c r="T58" s="2">
        <v>17180</v>
      </c>
    </row>
    <row r="59" spans="1:25" x14ac:dyDescent="0.25">
      <c r="A59" s="2" t="s">
        <v>50</v>
      </c>
      <c r="I59" s="2">
        <v>171036</v>
      </c>
      <c r="S59" s="2">
        <v>134345</v>
      </c>
      <c r="T59" s="2">
        <v>171036</v>
      </c>
    </row>
    <row r="60" spans="1:25" x14ac:dyDescent="0.25">
      <c r="A60" s="2" t="s">
        <v>65</v>
      </c>
      <c r="I60" s="2">
        <v>13588</v>
      </c>
      <c r="S60" s="2">
        <v>14091</v>
      </c>
      <c r="T60" s="2">
        <v>13588</v>
      </c>
    </row>
    <row r="61" spans="1:25" x14ac:dyDescent="0.25">
      <c r="A61" s="2" t="s">
        <v>66</v>
      </c>
      <c r="I61" s="2">
        <v>31885</v>
      </c>
      <c r="S61" s="2">
        <v>29198</v>
      </c>
      <c r="T61" s="2">
        <v>31885</v>
      </c>
    </row>
    <row r="62" spans="1:25" x14ac:dyDescent="0.25">
      <c r="A62" s="2" t="s">
        <v>14</v>
      </c>
      <c r="I62" s="2">
        <f>15714+14874</f>
        <v>30588</v>
      </c>
      <c r="S62" s="2">
        <f>12650+10051</f>
        <v>22701</v>
      </c>
      <c r="T62" s="2">
        <f>15714+14874</f>
        <v>30588</v>
      </c>
    </row>
    <row r="63" spans="1:25" x14ac:dyDescent="0.25">
      <c r="A63" s="2" t="s">
        <v>59</v>
      </c>
      <c r="I63" s="2">
        <f>SUM(I55:I62)</f>
        <v>450256</v>
      </c>
      <c r="S63" s="2">
        <f>SUM(S55:S62)</f>
        <v>402392</v>
      </c>
      <c r="T63" s="2">
        <f>SUM(T55:T62)</f>
        <v>450256</v>
      </c>
    </row>
    <row r="65" spans="1:25" x14ac:dyDescent="0.25">
      <c r="A65" s="2" t="s">
        <v>47</v>
      </c>
      <c r="I65" s="2">
        <v>7987</v>
      </c>
      <c r="S65" s="2">
        <v>7493</v>
      </c>
      <c r="T65" s="2">
        <v>7987</v>
      </c>
    </row>
    <row r="66" spans="1:25" x14ac:dyDescent="0.25">
      <c r="A66" s="2" t="s">
        <v>52</v>
      </c>
      <c r="I66" s="2">
        <v>15069</v>
      </c>
      <c r="S66" s="2">
        <v>15140</v>
      </c>
      <c r="T66" s="2">
        <v>15069</v>
      </c>
    </row>
    <row r="67" spans="1:25" x14ac:dyDescent="0.25">
      <c r="A67" s="2" t="s">
        <v>67</v>
      </c>
      <c r="I67" s="2">
        <v>51228</v>
      </c>
      <c r="S67" s="2">
        <v>46168</v>
      </c>
      <c r="T67" s="2">
        <v>51228</v>
      </c>
    </row>
    <row r="68" spans="1:25" x14ac:dyDescent="0.25">
      <c r="A68" s="2" t="s">
        <v>68</v>
      </c>
      <c r="I68" s="2">
        <v>9802</v>
      </c>
      <c r="S68" s="2">
        <v>8876</v>
      </c>
      <c r="T68" s="2">
        <v>9802</v>
      </c>
    </row>
    <row r="69" spans="1:25" x14ac:dyDescent="0.25">
      <c r="A69" s="2" t="s">
        <v>69</v>
      </c>
      <c r="I69" s="2">
        <v>5036</v>
      </c>
      <c r="S69" s="2">
        <v>4137</v>
      </c>
      <c r="T69" s="2">
        <v>5036</v>
      </c>
    </row>
    <row r="70" spans="1:25" x14ac:dyDescent="0.25">
      <c r="A70" s="2" t="s">
        <v>5</v>
      </c>
      <c r="I70" s="2">
        <v>10883</v>
      </c>
      <c r="S70" s="2">
        <v>11870</v>
      </c>
      <c r="T70" s="2">
        <v>10883</v>
      </c>
    </row>
    <row r="71" spans="1:25" x14ac:dyDescent="0.25">
      <c r="A71" s="2" t="s">
        <v>71</v>
      </c>
      <c r="I71" s="2">
        <v>8782</v>
      </c>
      <c r="S71" s="2">
        <v>8474</v>
      </c>
      <c r="T71" s="2">
        <v>8782</v>
      </c>
    </row>
    <row r="72" spans="1:25" x14ac:dyDescent="0.25">
      <c r="A72" s="2" t="s">
        <v>70</v>
      </c>
      <c r="I72" s="2">
        <f>11691+4694</f>
        <v>16385</v>
      </c>
      <c r="S72" s="2">
        <f>12460+4395</f>
        <v>16855</v>
      </c>
      <c r="T72" s="2">
        <f>11691+4694</f>
        <v>16385</v>
      </c>
    </row>
    <row r="73" spans="1:25" x14ac:dyDescent="0.25">
      <c r="A73" s="2" t="s">
        <v>60</v>
      </c>
      <c r="I73" s="2">
        <f>SUM(I65:I72)</f>
        <v>125172</v>
      </c>
      <c r="S73" s="2">
        <f>SUM(S65:S72)</f>
        <v>119013</v>
      </c>
      <c r="T73" s="2">
        <f>SUM(T65:T72)</f>
        <v>125172</v>
      </c>
    </row>
    <row r="74" spans="1:25" x14ac:dyDescent="0.25">
      <c r="A74" s="2" t="s">
        <v>61</v>
      </c>
      <c r="I74" s="2">
        <f>I63-I73</f>
        <v>325084</v>
      </c>
      <c r="S74" s="2">
        <f>S63-S73</f>
        <v>283379</v>
      </c>
      <c r="T74" s="2">
        <f>T63-T73</f>
        <v>325084</v>
      </c>
    </row>
    <row r="75" spans="1:25" x14ac:dyDescent="0.25">
      <c r="A75" s="2" t="s">
        <v>62</v>
      </c>
      <c r="I75" s="2">
        <f>I73+I74</f>
        <v>450256</v>
      </c>
      <c r="S75" s="2">
        <f>S73+S74</f>
        <v>402392</v>
      </c>
      <c r="T75" s="2">
        <f>T73+T74</f>
        <v>450256</v>
      </c>
    </row>
    <row r="77" spans="1:25" x14ac:dyDescent="0.25">
      <c r="A77" s="2" t="s">
        <v>56</v>
      </c>
      <c r="B77" s="2">
        <f t="shared" ref="B77:M77" si="78">(B56/B21)*90</f>
        <v>0</v>
      </c>
      <c r="C77" s="2">
        <f t="shared" si="78"/>
        <v>0</v>
      </c>
      <c r="D77" s="2">
        <f t="shared" si="78"/>
        <v>0</v>
      </c>
      <c r="E77" s="2">
        <f t="shared" si="78"/>
        <v>0</v>
      </c>
      <c r="F77" s="2">
        <f t="shared" si="78"/>
        <v>0</v>
      </c>
      <c r="G77" s="2">
        <f t="shared" si="78"/>
        <v>0</v>
      </c>
      <c r="H77" s="2">
        <f t="shared" si="78"/>
        <v>0</v>
      </c>
      <c r="I77" s="2">
        <f t="shared" si="78"/>
        <v>48.830194155635489</v>
      </c>
      <c r="J77" s="2">
        <f t="shared" si="78"/>
        <v>0</v>
      </c>
      <c r="K77" s="2">
        <f t="shared" si="78"/>
        <v>0</v>
      </c>
      <c r="L77" s="2">
        <f t="shared" si="78"/>
        <v>0</v>
      </c>
      <c r="M77" s="2">
        <f t="shared" si="78"/>
        <v>0</v>
      </c>
      <c r="Q77" s="2">
        <f t="shared" ref="Q77:X77" si="79">(Q56/Q21)*360</f>
        <v>0</v>
      </c>
      <c r="R77" s="2">
        <f t="shared" si="79"/>
        <v>0</v>
      </c>
      <c r="S77" s="2">
        <f t="shared" si="79"/>
        <v>56.172339082740713</v>
      </c>
      <c r="T77" s="2">
        <f t="shared" si="79"/>
        <v>53.832660034626791</v>
      </c>
      <c r="U77" s="2">
        <f t="shared" si="79"/>
        <v>0</v>
      </c>
      <c r="V77" s="2">
        <f t="shared" si="79"/>
        <v>0</v>
      </c>
      <c r="W77" s="2">
        <f t="shared" si="79"/>
        <v>0</v>
      </c>
      <c r="X77" s="2">
        <f t="shared" si="79"/>
        <v>0</v>
      </c>
      <c r="Y77" s="2">
        <f>(Y56/Y21)*365</f>
        <v>0</v>
      </c>
    </row>
    <row r="79" spans="1:25" x14ac:dyDescent="0.25">
      <c r="A79" s="2" t="s">
        <v>57</v>
      </c>
      <c r="B79" s="2">
        <f t="shared" ref="B79:K79" si="80">+B33</f>
        <v>15051</v>
      </c>
      <c r="C79" s="2">
        <f t="shared" si="80"/>
        <v>18368</v>
      </c>
      <c r="D79" s="2">
        <f t="shared" si="80"/>
        <v>19689</v>
      </c>
      <c r="E79" s="2">
        <f t="shared" si="80"/>
        <v>20687</v>
      </c>
      <c r="F79" s="2">
        <f t="shared" si="80"/>
        <v>23662</v>
      </c>
      <c r="G79" s="2">
        <f t="shared" si="80"/>
        <v>23619</v>
      </c>
      <c r="H79" s="2">
        <f t="shared" si="80"/>
        <v>26301</v>
      </c>
      <c r="I79" s="2">
        <f t="shared" si="80"/>
        <v>26536</v>
      </c>
      <c r="J79" s="2">
        <f t="shared" si="80"/>
        <v>26467.315746783432</v>
      </c>
      <c r="K79" s="2">
        <f t="shared" si="80"/>
        <v>27957.632556085413</v>
      </c>
      <c r="R79" s="2">
        <f t="shared" ref="R79:Y79" si="81">+R33</f>
        <v>63486</v>
      </c>
      <c r="S79" s="2">
        <f t="shared" si="81"/>
        <v>73975</v>
      </c>
      <c r="T79" s="2">
        <f t="shared" si="81"/>
        <v>100122</v>
      </c>
      <c r="U79" s="2">
        <f t="shared" si="81"/>
        <v>115750.95701620828</v>
      </c>
      <c r="V79" s="2">
        <f t="shared" si="81"/>
        <v>135396.31048845645</v>
      </c>
      <c r="W79" s="2">
        <f t="shared" si="81"/>
        <v>157444.82961715202</v>
      </c>
      <c r="X79" s="2">
        <f t="shared" si="81"/>
        <v>182609.36921272508</v>
      </c>
      <c r="Y79" s="2">
        <f t="shared" si="81"/>
        <v>211347.00632104737</v>
      </c>
    </row>
    <row r="80" spans="1:25" x14ac:dyDescent="0.25">
      <c r="A80" s="2" t="s">
        <v>58</v>
      </c>
      <c r="C80" s="2">
        <v>18368</v>
      </c>
      <c r="G80" s="2">
        <v>23619</v>
      </c>
      <c r="R80" s="2">
        <v>59972</v>
      </c>
      <c r="S80" s="2">
        <v>73795</v>
      </c>
      <c r="T80" s="2">
        <v>100118</v>
      </c>
      <c r="U80" s="2">
        <f>U79</f>
        <v>115750.95701620828</v>
      </c>
      <c r="V80" s="2">
        <f t="shared" ref="V80:Y80" si="82">V79</f>
        <v>135396.31048845645</v>
      </c>
      <c r="W80" s="2">
        <f t="shared" si="82"/>
        <v>157444.82961715202</v>
      </c>
      <c r="X80" s="2">
        <f t="shared" si="82"/>
        <v>182609.36921272508</v>
      </c>
      <c r="Y80" s="2">
        <f t="shared" si="82"/>
        <v>211347.00632104737</v>
      </c>
    </row>
    <row r="81" spans="1:28" x14ac:dyDescent="0.25">
      <c r="A81" s="2" t="s">
        <v>72</v>
      </c>
      <c r="R81" s="2">
        <v>13475</v>
      </c>
      <c r="S81" s="2">
        <v>11946</v>
      </c>
      <c r="T81" s="2">
        <v>15311</v>
      </c>
      <c r="U81" s="2">
        <f>T81*1.01</f>
        <v>15464.11</v>
      </c>
      <c r="V81" s="2">
        <f t="shared" ref="V81:Y81" si="83">U81*1.01</f>
        <v>15618.751100000001</v>
      </c>
      <c r="W81" s="2">
        <f t="shared" si="83"/>
        <v>15774.938611000001</v>
      </c>
      <c r="X81" s="2">
        <f t="shared" si="83"/>
        <v>15932.687997110001</v>
      </c>
      <c r="Y81" s="2">
        <f t="shared" si="83"/>
        <v>16092.014877081101</v>
      </c>
    </row>
    <row r="82" spans="1:28" x14ac:dyDescent="0.25">
      <c r="A82" s="2" t="s">
        <v>73</v>
      </c>
      <c r="R82" s="2">
        <v>19362</v>
      </c>
      <c r="S82" s="2">
        <v>22460</v>
      </c>
      <c r="T82" s="2">
        <v>22785</v>
      </c>
      <c r="U82" s="2">
        <f>T82*1.02</f>
        <v>23240.7</v>
      </c>
      <c r="V82" s="2">
        <f t="shared" ref="V82:Y82" si="84">U82*1.02</f>
        <v>23705.514000000003</v>
      </c>
      <c r="W82" s="2">
        <f t="shared" si="84"/>
        <v>24179.624280000004</v>
      </c>
      <c r="X82" s="2">
        <f t="shared" si="84"/>
        <v>24663.216765600006</v>
      </c>
      <c r="Y82" s="2">
        <f t="shared" si="84"/>
        <v>25156.481100912006</v>
      </c>
    </row>
    <row r="83" spans="1:28" x14ac:dyDescent="0.25">
      <c r="A83" s="2" t="s">
        <v>64</v>
      </c>
      <c r="R83" s="2">
        <v>-8081</v>
      </c>
      <c r="S83" s="2">
        <v>-7763</v>
      </c>
      <c r="T83" s="2">
        <v>-5257</v>
      </c>
      <c r="U83" s="2">
        <f t="shared" ref="U83:U92" si="85">T83*1.1</f>
        <v>-5782.7000000000007</v>
      </c>
      <c r="V83" s="2">
        <f t="shared" ref="V83:V92" si="86">U83*1.1</f>
        <v>-6360.9700000000012</v>
      </c>
      <c r="W83" s="2">
        <f t="shared" ref="W83:W92" si="87">V83*1.1</f>
        <v>-6997.0670000000018</v>
      </c>
      <c r="X83" s="2">
        <f t="shared" ref="X83:X92" si="88">W83*1.1</f>
        <v>-7696.7737000000025</v>
      </c>
      <c r="Y83" s="2">
        <f t="shared" ref="Y83:Y92" si="89">X83*1.1</f>
        <v>-8466.4510700000028</v>
      </c>
    </row>
    <row r="84" spans="1:28" x14ac:dyDescent="0.25">
      <c r="A84" s="2" t="s">
        <v>74</v>
      </c>
      <c r="R84" s="2">
        <v>5519</v>
      </c>
      <c r="S84" s="2">
        <v>823</v>
      </c>
      <c r="T84" s="2">
        <v>-2671</v>
      </c>
      <c r="U84" s="2">
        <f t="shared" si="85"/>
        <v>-2938.1000000000004</v>
      </c>
      <c r="V84" s="2">
        <f t="shared" si="86"/>
        <v>-3231.9100000000008</v>
      </c>
      <c r="W84" s="2">
        <f t="shared" si="87"/>
        <v>-3555.101000000001</v>
      </c>
      <c r="X84" s="2">
        <f t="shared" si="88"/>
        <v>-3910.6111000000014</v>
      </c>
      <c r="Y84" s="2">
        <f t="shared" si="89"/>
        <v>-4301.6722100000015</v>
      </c>
    </row>
    <row r="85" spans="1:28" x14ac:dyDescent="0.25">
      <c r="A85" s="2" t="s">
        <v>14</v>
      </c>
      <c r="R85" s="2">
        <v>3483</v>
      </c>
      <c r="S85" s="2">
        <v>4330</v>
      </c>
      <c r="T85" s="2">
        <v>3419</v>
      </c>
      <c r="U85" s="2">
        <f t="shared" si="85"/>
        <v>3760.9</v>
      </c>
      <c r="V85" s="2">
        <f t="shared" si="86"/>
        <v>4136.9900000000007</v>
      </c>
      <c r="W85" s="2">
        <f t="shared" si="87"/>
        <v>4550.6890000000012</v>
      </c>
      <c r="X85" s="2">
        <f t="shared" si="88"/>
        <v>5005.7579000000014</v>
      </c>
      <c r="Y85" s="2">
        <f t="shared" si="89"/>
        <v>5506.3336900000022</v>
      </c>
    </row>
    <row r="86" spans="1:28" x14ac:dyDescent="0.25">
      <c r="A86" s="2" t="s">
        <v>46</v>
      </c>
      <c r="R86" s="2">
        <v>-2317</v>
      </c>
      <c r="S86" s="2">
        <v>-7833</v>
      </c>
      <c r="T86" s="2">
        <v>-5891</v>
      </c>
      <c r="U86" s="2">
        <f t="shared" si="85"/>
        <v>-6480.1</v>
      </c>
      <c r="V86" s="2">
        <f t="shared" si="86"/>
        <v>-7128.1100000000006</v>
      </c>
      <c r="W86" s="2">
        <f t="shared" si="87"/>
        <v>-7840.9210000000012</v>
      </c>
      <c r="X86" s="2">
        <f t="shared" si="88"/>
        <v>-8625.0131000000019</v>
      </c>
      <c r="Y86" s="2">
        <f t="shared" si="89"/>
        <v>-9487.5144100000034</v>
      </c>
    </row>
    <row r="87" spans="1:28" x14ac:dyDescent="0.25">
      <c r="A87" s="2" t="s">
        <v>15</v>
      </c>
      <c r="R87" s="2">
        <v>584</v>
      </c>
      <c r="S87" s="2">
        <v>523</v>
      </c>
      <c r="T87" s="2">
        <v>-2418</v>
      </c>
      <c r="U87" s="2">
        <f t="shared" si="85"/>
        <v>-2659.8</v>
      </c>
      <c r="V87" s="2">
        <f t="shared" si="86"/>
        <v>-2925.7800000000007</v>
      </c>
      <c r="W87" s="2">
        <f t="shared" si="87"/>
        <v>-3218.3580000000011</v>
      </c>
      <c r="X87" s="2">
        <f t="shared" si="88"/>
        <v>-3540.1938000000014</v>
      </c>
      <c r="Y87" s="2">
        <f t="shared" si="89"/>
        <v>-3894.213180000002</v>
      </c>
    </row>
    <row r="88" spans="1:28" x14ac:dyDescent="0.25">
      <c r="A88" s="2" t="s">
        <v>75</v>
      </c>
      <c r="R88" s="2">
        <v>-5046</v>
      </c>
      <c r="S88" s="2">
        <v>-2143</v>
      </c>
      <c r="T88" s="2">
        <v>-1397</v>
      </c>
      <c r="U88" s="2">
        <f t="shared" si="85"/>
        <v>-1536.7</v>
      </c>
      <c r="V88" s="2">
        <f t="shared" si="86"/>
        <v>-1690.3700000000001</v>
      </c>
      <c r="W88" s="2">
        <f t="shared" si="87"/>
        <v>-1859.4070000000004</v>
      </c>
      <c r="X88" s="2">
        <f t="shared" si="88"/>
        <v>-2045.3477000000005</v>
      </c>
      <c r="Y88" s="2">
        <f t="shared" si="89"/>
        <v>-2249.8824700000009</v>
      </c>
    </row>
    <row r="89" spans="1:28" x14ac:dyDescent="0.25">
      <c r="A89" s="2" t="s">
        <v>47</v>
      </c>
      <c r="R89" s="2">
        <v>707</v>
      </c>
      <c r="S89" s="2">
        <v>664</v>
      </c>
      <c r="T89" s="2">
        <v>-1161</v>
      </c>
      <c r="U89" s="2">
        <f t="shared" si="85"/>
        <v>-1277.1000000000001</v>
      </c>
      <c r="V89" s="2">
        <f t="shared" si="86"/>
        <v>-1404.8100000000002</v>
      </c>
      <c r="W89" s="2">
        <f t="shared" si="87"/>
        <v>-1545.2910000000004</v>
      </c>
      <c r="X89" s="2">
        <f t="shared" si="88"/>
        <v>-1699.8201000000006</v>
      </c>
      <c r="Y89" s="2">
        <f t="shared" si="89"/>
        <v>-1869.8021100000008</v>
      </c>
    </row>
    <row r="90" spans="1:28" x14ac:dyDescent="0.25">
      <c r="A90" s="2" t="s">
        <v>76</v>
      </c>
      <c r="R90" s="2">
        <v>3915</v>
      </c>
      <c r="S90" s="2">
        <v>3937</v>
      </c>
      <c r="T90" s="2">
        <v>-1161</v>
      </c>
      <c r="U90" s="2">
        <f t="shared" si="85"/>
        <v>-1277.1000000000001</v>
      </c>
      <c r="V90" s="2">
        <f t="shared" si="86"/>
        <v>-1404.8100000000002</v>
      </c>
      <c r="W90" s="2">
        <f t="shared" si="87"/>
        <v>-1545.2910000000004</v>
      </c>
      <c r="X90" s="2">
        <f t="shared" si="88"/>
        <v>-1699.8201000000006</v>
      </c>
      <c r="Y90" s="2">
        <f t="shared" si="89"/>
        <v>-1869.8021100000008</v>
      </c>
    </row>
    <row r="91" spans="1:28" x14ac:dyDescent="0.25">
      <c r="A91" s="2" t="s">
        <v>77</v>
      </c>
      <c r="R91" s="2">
        <v>-445</v>
      </c>
      <c r="S91" s="2">
        <v>482</v>
      </c>
      <c r="T91" s="2">
        <v>1059</v>
      </c>
      <c r="U91" s="2">
        <f t="shared" si="85"/>
        <v>1164.9000000000001</v>
      </c>
      <c r="V91" s="2">
        <f t="shared" si="86"/>
        <v>1281.3900000000001</v>
      </c>
      <c r="W91" s="2">
        <f t="shared" si="87"/>
        <v>1409.5290000000002</v>
      </c>
      <c r="X91" s="2">
        <f t="shared" si="88"/>
        <v>1550.4819000000005</v>
      </c>
      <c r="Y91" s="2">
        <f t="shared" si="89"/>
        <v>1705.5300900000007</v>
      </c>
    </row>
    <row r="92" spans="1:28" x14ac:dyDescent="0.25">
      <c r="A92" s="2" t="s">
        <v>69</v>
      </c>
      <c r="R92" s="2">
        <v>367</v>
      </c>
      <c r="S92" s="2">
        <v>525</v>
      </c>
      <c r="T92" s="2">
        <v>1043</v>
      </c>
      <c r="U92" s="2">
        <f t="shared" si="85"/>
        <v>1147.3000000000002</v>
      </c>
      <c r="V92" s="2">
        <f t="shared" si="86"/>
        <v>1262.0300000000002</v>
      </c>
      <c r="W92" s="2">
        <f t="shared" si="87"/>
        <v>1388.2330000000004</v>
      </c>
      <c r="X92" s="2">
        <f t="shared" si="88"/>
        <v>1527.0563000000006</v>
      </c>
      <c r="Y92" s="2">
        <f t="shared" si="89"/>
        <v>1679.7619300000008</v>
      </c>
    </row>
    <row r="93" spans="1:28" x14ac:dyDescent="0.25">
      <c r="A93" s="5" t="s">
        <v>20</v>
      </c>
      <c r="B93" s="5"/>
      <c r="C93" s="5">
        <v>28666</v>
      </c>
      <c r="D93" s="5"/>
      <c r="E93" s="5"/>
      <c r="F93" s="5"/>
      <c r="G93" s="5">
        <v>26640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>
        <f>SUM(R80:R92)</f>
        <v>91495</v>
      </c>
      <c r="S93" s="5">
        <f t="shared" ref="S93:Y93" si="90">SUM(S80:S92)</f>
        <v>101746</v>
      </c>
      <c r="T93" s="5">
        <f t="shared" si="90"/>
        <v>123779</v>
      </c>
      <c r="U93" s="5">
        <f t="shared" si="90"/>
        <v>138577.26701620824</v>
      </c>
      <c r="V93" s="5">
        <f t="shared" si="90"/>
        <v>157254.22558845644</v>
      </c>
      <c r="W93" s="5">
        <f t="shared" si="90"/>
        <v>178186.40750815201</v>
      </c>
      <c r="X93" s="5">
        <f t="shared" si="90"/>
        <v>202070.99047543504</v>
      </c>
      <c r="Y93" s="5">
        <f t="shared" si="90"/>
        <v>229347.79044904051</v>
      </c>
      <c r="AA93" s="2" t="s">
        <v>55</v>
      </c>
      <c r="AB93" s="3">
        <v>0.06</v>
      </c>
    </row>
    <row r="94" spans="1:28" x14ac:dyDescent="0.25">
      <c r="A94" s="2" t="s">
        <v>78</v>
      </c>
      <c r="R94" s="2">
        <v>-31485</v>
      </c>
      <c r="S94" s="2">
        <v>-32251</v>
      </c>
      <c r="T94" s="2">
        <v>-52535</v>
      </c>
      <c r="AA94" s="2" t="s">
        <v>29</v>
      </c>
      <c r="AB94" s="3">
        <v>0.01</v>
      </c>
    </row>
    <row r="95" spans="1:28" x14ac:dyDescent="0.25">
      <c r="A95" s="2" t="s">
        <v>79</v>
      </c>
      <c r="R95" s="2">
        <f>+-78874-2531</f>
        <v>-81405</v>
      </c>
      <c r="S95" s="2">
        <f>+-77858-3027</f>
        <v>-80885</v>
      </c>
      <c r="T95" s="2">
        <f>+-86679-5034</f>
        <v>-91713</v>
      </c>
      <c r="AA95" s="2" t="s">
        <v>30</v>
      </c>
      <c r="AB95" s="9">
        <v>8.5000000000000006E-2</v>
      </c>
    </row>
    <row r="96" spans="1:28" x14ac:dyDescent="0.25">
      <c r="A96" s="2" t="s">
        <v>80</v>
      </c>
      <c r="R96" s="2">
        <f>97822+150</f>
        <v>97972</v>
      </c>
      <c r="S96" s="2">
        <f>86672+947</f>
        <v>87619</v>
      </c>
      <c r="T96" s="2">
        <f>103428+882</f>
        <v>104310</v>
      </c>
      <c r="AA96" s="2" t="s">
        <v>28</v>
      </c>
      <c r="AB96" s="2">
        <f>NPV(AB95,U100:FF100)+main!I5-main!I6</f>
        <v>2356907.1793143395</v>
      </c>
    </row>
    <row r="97" spans="1:162" x14ac:dyDescent="0.25">
      <c r="A97" s="2" t="s">
        <v>81</v>
      </c>
      <c r="R97" s="2">
        <v>-6969</v>
      </c>
      <c r="S97" s="2">
        <v>-495</v>
      </c>
      <c r="T97" s="2">
        <v>-2931</v>
      </c>
      <c r="AA97" s="2" t="s">
        <v>1</v>
      </c>
      <c r="AB97" s="2">
        <f>AB96/main!I3</f>
        <v>192.40058606647671</v>
      </c>
    </row>
    <row r="98" spans="1:162" x14ac:dyDescent="0.25">
      <c r="A98" s="2" t="s">
        <v>82</v>
      </c>
      <c r="R98" s="2">
        <v>1589</v>
      </c>
      <c r="S98" s="2">
        <v>-1051</v>
      </c>
      <c r="T98" s="2">
        <v>-2667</v>
      </c>
      <c r="AA98" s="2" t="s">
        <v>31</v>
      </c>
      <c r="AB98" s="3">
        <f>AB97/main!I2-1</f>
        <v>0.30000395990862638</v>
      </c>
    </row>
    <row r="99" spans="1:162" x14ac:dyDescent="0.25">
      <c r="A99" s="2" t="s">
        <v>83</v>
      </c>
      <c r="C99" s="2">
        <v>10800</v>
      </c>
      <c r="G99" s="2">
        <v>13746</v>
      </c>
      <c r="R99" s="2">
        <f>SUM(R94:R98)</f>
        <v>-20298</v>
      </c>
      <c r="S99" s="2">
        <f>SUM(S94:S98)</f>
        <v>-27063</v>
      </c>
      <c r="T99" s="2">
        <f>SUM(T94:T98)</f>
        <v>-45536</v>
      </c>
      <c r="U99" s="2">
        <v>-75000</v>
      </c>
      <c r="V99" s="2">
        <f>U99*0.8</f>
        <v>-60000</v>
      </c>
      <c r="W99" s="2">
        <f t="shared" ref="W99:Y99" si="91">V99*0.8</f>
        <v>-48000</v>
      </c>
      <c r="X99" s="2">
        <f t="shared" si="91"/>
        <v>-38400</v>
      </c>
      <c r="Y99" s="2">
        <f t="shared" si="91"/>
        <v>-30720</v>
      </c>
    </row>
    <row r="100" spans="1:162" x14ac:dyDescent="0.25">
      <c r="A100" s="5" t="s">
        <v>21</v>
      </c>
      <c r="B100" s="5">
        <f t="shared" ref="B100:K100" si="92">B93-B99</f>
        <v>0</v>
      </c>
      <c r="C100" s="5">
        <f t="shared" si="92"/>
        <v>17866</v>
      </c>
      <c r="D100" s="5">
        <f t="shared" si="92"/>
        <v>0</v>
      </c>
      <c r="E100" s="5">
        <f t="shared" si="92"/>
        <v>0</v>
      </c>
      <c r="F100" s="5">
        <f t="shared" si="92"/>
        <v>0</v>
      </c>
      <c r="G100" s="5">
        <f t="shared" si="92"/>
        <v>12894</v>
      </c>
      <c r="H100" s="5">
        <f t="shared" si="92"/>
        <v>0</v>
      </c>
      <c r="I100" s="5">
        <f t="shared" si="92"/>
        <v>0</v>
      </c>
      <c r="J100" s="5">
        <f t="shared" si="92"/>
        <v>0</v>
      </c>
      <c r="K100" s="5">
        <f t="shared" si="92"/>
        <v>0</v>
      </c>
      <c r="L100" s="5"/>
      <c r="M100" s="5"/>
      <c r="N100" s="5"/>
      <c r="O100" s="5"/>
      <c r="P100" s="5"/>
      <c r="Q100" s="5"/>
      <c r="R100" s="5">
        <f>R93+R99</f>
        <v>71197</v>
      </c>
      <c r="S100" s="5">
        <f>S93+S99</f>
        <v>74683</v>
      </c>
      <c r="T100" s="5">
        <f>T93+T99</f>
        <v>78243</v>
      </c>
      <c r="U100" s="5">
        <f>U93+U99</f>
        <v>63577.267016208236</v>
      </c>
      <c r="V100" s="5">
        <f t="shared" ref="V100:Y100" si="93">V93+V99</f>
        <v>97254.225588456437</v>
      </c>
      <c r="W100" s="5">
        <f t="shared" si="93"/>
        <v>130186.40750815201</v>
      </c>
      <c r="X100" s="5">
        <f t="shared" si="93"/>
        <v>163670.99047543504</v>
      </c>
      <c r="Y100" s="5">
        <f t="shared" si="93"/>
        <v>198627.79044904051</v>
      </c>
      <c r="Z100" s="5">
        <f t="shared" ref="Z100:BE100" si="94">Y100*(1+$AB$94)</f>
        <v>200614.06835353092</v>
      </c>
      <c r="AA100" s="5">
        <f t="shared" si="94"/>
        <v>202620.20903706623</v>
      </c>
      <c r="AB100" s="5">
        <f t="shared" si="94"/>
        <v>204646.41112743691</v>
      </c>
      <c r="AC100" s="5">
        <f t="shared" si="94"/>
        <v>206692.87523871128</v>
      </c>
      <c r="AD100" s="5">
        <f t="shared" si="94"/>
        <v>208759.80399109839</v>
      </c>
      <c r="AE100" s="5">
        <f t="shared" si="94"/>
        <v>210847.40203100938</v>
      </c>
      <c r="AF100" s="5">
        <f t="shared" si="94"/>
        <v>212955.87605131947</v>
      </c>
      <c r="AG100" s="5">
        <f t="shared" si="94"/>
        <v>215085.43481183267</v>
      </c>
      <c r="AH100" s="5">
        <f t="shared" si="94"/>
        <v>217236.289159951</v>
      </c>
      <c r="AI100" s="5">
        <f t="shared" si="94"/>
        <v>219408.65205155051</v>
      </c>
      <c r="AJ100" s="5">
        <f t="shared" si="94"/>
        <v>221602.73857206601</v>
      </c>
      <c r="AK100" s="5">
        <f t="shared" si="94"/>
        <v>223818.76595778667</v>
      </c>
      <c r="AL100" s="5">
        <f t="shared" si="94"/>
        <v>226056.95361736455</v>
      </c>
      <c r="AM100" s="5">
        <f t="shared" si="94"/>
        <v>228317.5231535382</v>
      </c>
      <c r="AN100" s="5">
        <f t="shared" si="94"/>
        <v>230600.6983850736</v>
      </c>
      <c r="AO100" s="5">
        <f t="shared" si="94"/>
        <v>232906.70536892433</v>
      </c>
      <c r="AP100" s="5">
        <f t="shared" si="94"/>
        <v>235235.77242261358</v>
      </c>
      <c r="AQ100" s="5">
        <f t="shared" si="94"/>
        <v>237588.13014683971</v>
      </c>
      <c r="AR100" s="5">
        <f t="shared" si="94"/>
        <v>239964.01144830813</v>
      </c>
      <c r="AS100" s="5">
        <f t="shared" si="94"/>
        <v>242363.6515627912</v>
      </c>
      <c r="AT100" s="5">
        <f t="shared" si="94"/>
        <v>244787.28807841911</v>
      </c>
      <c r="AU100" s="5">
        <f t="shared" si="94"/>
        <v>247235.16095920329</v>
      </c>
      <c r="AV100" s="5">
        <f t="shared" si="94"/>
        <v>249707.51256879533</v>
      </c>
      <c r="AW100" s="5">
        <f t="shared" si="94"/>
        <v>252204.58769448329</v>
      </c>
      <c r="AX100" s="5">
        <f t="shared" si="94"/>
        <v>254726.63357142813</v>
      </c>
      <c r="AY100" s="5">
        <f t="shared" si="94"/>
        <v>257273.89990714242</v>
      </c>
      <c r="AZ100" s="5">
        <f t="shared" si="94"/>
        <v>259846.63890621383</v>
      </c>
      <c r="BA100" s="5">
        <f t="shared" si="94"/>
        <v>262445.10529527598</v>
      </c>
      <c r="BB100" s="5">
        <f t="shared" si="94"/>
        <v>265069.55634822877</v>
      </c>
      <c r="BC100" s="5">
        <f t="shared" si="94"/>
        <v>267720.25191171106</v>
      </c>
      <c r="BD100" s="5">
        <f t="shared" si="94"/>
        <v>270397.45443082816</v>
      </c>
      <c r="BE100" s="5">
        <f t="shared" si="94"/>
        <v>273101.42897513643</v>
      </c>
      <c r="BF100" s="5">
        <f t="shared" ref="BF100:CK100" si="95">BE100*(1+$AB$94)</f>
        <v>275832.44326488778</v>
      </c>
      <c r="BG100" s="5">
        <f t="shared" si="95"/>
        <v>278590.76769753668</v>
      </c>
      <c r="BH100" s="5">
        <f t="shared" si="95"/>
        <v>281376.67537451204</v>
      </c>
      <c r="BI100" s="5">
        <f t="shared" si="95"/>
        <v>284190.44212825719</v>
      </c>
      <c r="BJ100" s="5">
        <f t="shared" si="95"/>
        <v>287032.34654953977</v>
      </c>
      <c r="BK100" s="5">
        <f t="shared" si="95"/>
        <v>289902.6700150352</v>
      </c>
      <c r="BL100" s="5">
        <f t="shared" si="95"/>
        <v>292801.69671518554</v>
      </c>
      <c r="BM100" s="5">
        <f t="shared" si="95"/>
        <v>295729.71368233737</v>
      </c>
      <c r="BN100" s="5">
        <f t="shared" si="95"/>
        <v>298687.01081916073</v>
      </c>
      <c r="BO100" s="5">
        <f t="shared" si="95"/>
        <v>301673.88092735235</v>
      </c>
      <c r="BP100" s="5">
        <f t="shared" si="95"/>
        <v>304690.61973662587</v>
      </c>
      <c r="BQ100" s="5">
        <f t="shared" si="95"/>
        <v>307737.52593399212</v>
      </c>
      <c r="BR100" s="5">
        <f t="shared" si="95"/>
        <v>310814.90119333204</v>
      </c>
      <c r="BS100" s="5">
        <f t="shared" si="95"/>
        <v>313923.05020526535</v>
      </c>
      <c r="BT100" s="5">
        <f t="shared" si="95"/>
        <v>317062.28070731799</v>
      </c>
      <c r="BU100" s="5">
        <f t="shared" si="95"/>
        <v>320232.90351439116</v>
      </c>
      <c r="BV100" s="5">
        <f t="shared" si="95"/>
        <v>323435.23254953505</v>
      </c>
      <c r="BW100" s="5">
        <f t="shared" si="95"/>
        <v>326669.58487503038</v>
      </c>
      <c r="BX100" s="5">
        <f t="shared" si="95"/>
        <v>329936.28072378068</v>
      </c>
      <c r="BY100" s="5">
        <f t="shared" si="95"/>
        <v>333235.64353101852</v>
      </c>
      <c r="BZ100" s="5">
        <f t="shared" si="95"/>
        <v>336567.99996632873</v>
      </c>
      <c r="CA100" s="5">
        <f t="shared" si="95"/>
        <v>339933.67996599199</v>
      </c>
      <c r="CB100" s="5">
        <f t="shared" si="95"/>
        <v>343333.01676565193</v>
      </c>
      <c r="CC100" s="5">
        <f t="shared" si="95"/>
        <v>346766.34693330846</v>
      </c>
      <c r="CD100" s="5">
        <f t="shared" si="95"/>
        <v>350234.01040264155</v>
      </c>
      <c r="CE100" s="5">
        <f t="shared" si="95"/>
        <v>353736.35050666798</v>
      </c>
      <c r="CF100" s="5">
        <f t="shared" si="95"/>
        <v>357273.71401173464</v>
      </c>
      <c r="CG100" s="5">
        <f t="shared" si="95"/>
        <v>360846.45115185197</v>
      </c>
      <c r="CH100" s="5">
        <f t="shared" si="95"/>
        <v>364454.91566337051</v>
      </c>
      <c r="CI100" s="5">
        <f t="shared" si="95"/>
        <v>368099.46482000424</v>
      </c>
      <c r="CJ100" s="5">
        <f t="shared" si="95"/>
        <v>371780.4594682043</v>
      </c>
      <c r="CK100" s="5">
        <f t="shared" si="95"/>
        <v>375498.26406288636</v>
      </c>
      <c r="CL100" s="5">
        <f t="shared" ref="CL100:DQ100" si="96">CK100*(1+$AB$94)</f>
        <v>379253.24670351524</v>
      </c>
      <c r="CM100" s="5">
        <f t="shared" si="96"/>
        <v>383045.77917055041</v>
      </c>
      <c r="CN100" s="5">
        <f t="shared" si="96"/>
        <v>386876.23696225591</v>
      </c>
      <c r="CO100" s="5">
        <f t="shared" si="96"/>
        <v>390744.99933187844</v>
      </c>
      <c r="CP100" s="5">
        <f t="shared" si="96"/>
        <v>394652.4493251972</v>
      </c>
      <c r="CQ100" s="5">
        <f t="shared" si="96"/>
        <v>398598.97381844919</v>
      </c>
      <c r="CR100" s="5">
        <f t="shared" si="96"/>
        <v>402584.96355663368</v>
      </c>
      <c r="CS100" s="5">
        <f t="shared" si="96"/>
        <v>406610.81319220003</v>
      </c>
      <c r="CT100" s="5">
        <f t="shared" si="96"/>
        <v>410676.92132412206</v>
      </c>
      <c r="CU100" s="5">
        <f t="shared" si="96"/>
        <v>414783.69053736329</v>
      </c>
      <c r="CV100" s="5">
        <f t="shared" si="96"/>
        <v>418931.5274427369</v>
      </c>
      <c r="CW100" s="5">
        <f t="shared" si="96"/>
        <v>423120.84271716425</v>
      </c>
      <c r="CX100" s="5">
        <f t="shared" si="96"/>
        <v>427352.05114433588</v>
      </c>
      <c r="CY100" s="5">
        <f t="shared" si="96"/>
        <v>431625.57165577926</v>
      </c>
      <c r="CZ100" s="5">
        <f t="shared" si="96"/>
        <v>435941.82737233705</v>
      </c>
      <c r="DA100" s="5">
        <f t="shared" si="96"/>
        <v>440301.24564606044</v>
      </c>
      <c r="DB100" s="5">
        <f t="shared" si="96"/>
        <v>444704.25810252107</v>
      </c>
      <c r="DC100" s="5">
        <f t="shared" si="96"/>
        <v>449151.30068354629</v>
      </c>
      <c r="DD100" s="5">
        <f t="shared" si="96"/>
        <v>453642.81369038176</v>
      </c>
      <c r="DE100" s="5">
        <f t="shared" si="96"/>
        <v>458179.24182728556</v>
      </c>
      <c r="DF100" s="5">
        <f t="shared" si="96"/>
        <v>462761.03424555843</v>
      </c>
      <c r="DG100" s="5">
        <f t="shared" si="96"/>
        <v>467388.64458801399</v>
      </c>
      <c r="DH100" s="5">
        <f t="shared" si="96"/>
        <v>472062.53103389416</v>
      </c>
      <c r="DI100" s="5">
        <f t="shared" si="96"/>
        <v>476783.15634423308</v>
      </c>
      <c r="DJ100" s="5">
        <f t="shared" si="96"/>
        <v>481550.98790767544</v>
      </c>
      <c r="DK100" s="5">
        <f t="shared" si="96"/>
        <v>486366.49778675218</v>
      </c>
      <c r="DL100" s="5">
        <f t="shared" si="96"/>
        <v>491230.16276461969</v>
      </c>
      <c r="DM100" s="5">
        <f t="shared" si="96"/>
        <v>496142.46439226589</v>
      </c>
      <c r="DN100" s="5">
        <f t="shared" si="96"/>
        <v>501103.88903618854</v>
      </c>
      <c r="DO100" s="5">
        <f t="shared" si="96"/>
        <v>506114.92792655044</v>
      </c>
      <c r="DP100" s="5">
        <f t="shared" si="96"/>
        <v>511176.07720581593</v>
      </c>
      <c r="DQ100" s="5">
        <f t="shared" si="96"/>
        <v>516287.83797787409</v>
      </c>
      <c r="DR100" s="5">
        <f t="shared" ref="DR100:EW100" si="97">DQ100*(1+$AB$94)</f>
        <v>521450.71635765285</v>
      </c>
      <c r="DS100" s="5">
        <f t="shared" si="97"/>
        <v>526665.22352122935</v>
      </c>
      <c r="DT100" s="5">
        <f t="shared" si="97"/>
        <v>531931.87575644162</v>
      </c>
      <c r="DU100" s="5">
        <f t="shared" si="97"/>
        <v>537251.19451400603</v>
      </c>
      <c r="DV100" s="5">
        <f t="shared" si="97"/>
        <v>542623.70645914611</v>
      </c>
      <c r="DW100" s="5">
        <f t="shared" si="97"/>
        <v>548049.9435237376</v>
      </c>
      <c r="DX100" s="5">
        <f t="shared" si="97"/>
        <v>553530.44295897498</v>
      </c>
      <c r="DY100" s="5">
        <f t="shared" si="97"/>
        <v>559065.74738856475</v>
      </c>
      <c r="DZ100" s="5">
        <f t="shared" si="97"/>
        <v>564656.40486245044</v>
      </c>
      <c r="EA100" s="5">
        <f t="shared" si="97"/>
        <v>570302.96891107492</v>
      </c>
      <c r="EB100" s="5">
        <f t="shared" si="97"/>
        <v>576005.99860018562</v>
      </c>
      <c r="EC100" s="5">
        <f t="shared" si="97"/>
        <v>581766.05858618743</v>
      </c>
      <c r="ED100" s="5">
        <f t="shared" si="97"/>
        <v>587583.71917204931</v>
      </c>
      <c r="EE100" s="5">
        <f t="shared" si="97"/>
        <v>593459.55636376981</v>
      </c>
      <c r="EF100" s="5">
        <f t="shared" si="97"/>
        <v>599394.15192740748</v>
      </c>
      <c r="EG100" s="5">
        <f t="shared" si="97"/>
        <v>605388.09344668151</v>
      </c>
      <c r="EH100" s="5">
        <f t="shared" si="97"/>
        <v>611441.97438114835</v>
      </c>
      <c r="EI100" s="5">
        <f t="shared" si="97"/>
        <v>617556.39412495983</v>
      </c>
      <c r="EJ100" s="5">
        <f t="shared" si="97"/>
        <v>623731.95806620945</v>
      </c>
      <c r="EK100" s="5">
        <f t="shared" si="97"/>
        <v>629969.27764687152</v>
      </c>
      <c r="EL100" s="5">
        <f t="shared" si="97"/>
        <v>636268.97042334022</v>
      </c>
      <c r="EM100" s="5">
        <f t="shared" si="97"/>
        <v>642631.66012757365</v>
      </c>
      <c r="EN100" s="5">
        <f t="shared" si="97"/>
        <v>649057.97672884935</v>
      </c>
      <c r="EO100" s="5">
        <f t="shared" si="97"/>
        <v>655548.55649613787</v>
      </c>
      <c r="EP100" s="5">
        <f t="shared" si="97"/>
        <v>662104.0420610992</v>
      </c>
      <c r="EQ100" s="5">
        <f t="shared" si="97"/>
        <v>668725.08248171024</v>
      </c>
      <c r="ER100" s="5">
        <f t="shared" si="97"/>
        <v>675412.33330652735</v>
      </c>
      <c r="ES100" s="5">
        <f t="shared" si="97"/>
        <v>682166.45663959265</v>
      </c>
      <c r="ET100" s="5">
        <f t="shared" si="97"/>
        <v>688988.12120598857</v>
      </c>
      <c r="EU100" s="5">
        <f t="shared" si="97"/>
        <v>695878.00241804845</v>
      </c>
      <c r="EV100" s="5">
        <f t="shared" si="97"/>
        <v>702836.78244222899</v>
      </c>
      <c r="EW100" s="5">
        <f t="shared" si="97"/>
        <v>709865.1502666513</v>
      </c>
      <c r="EX100" s="5">
        <f t="shared" ref="EX100:FF100" si="98">EW100*(1+$AB$94)</f>
        <v>716963.80176931783</v>
      </c>
      <c r="EY100" s="5">
        <f t="shared" si="98"/>
        <v>724133.43978701101</v>
      </c>
      <c r="EZ100" s="5">
        <f t="shared" si="98"/>
        <v>731374.77418488113</v>
      </c>
      <c r="FA100" s="5">
        <f t="shared" si="98"/>
        <v>738688.52192672994</v>
      </c>
      <c r="FB100" s="5">
        <f t="shared" si="98"/>
        <v>746075.40714599728</v>
      </c>
      <c r="FC100" s="5">
        <f t="shared" si="98"/>
        <v>753536.16121745727</v>
      </c>
      <c r="FD100" s="5">
        <f t="shared" si="98"/>
        <v>761071.52282963181</v>
      </c>
      <c r="FE100" s="5">
        <f t="shared" si="98"/>
        <v>768682.23805792816</v>
      </c>
      <c r="FF100" s="5">
        <f t="shared" si="98"/>
        <v>776369.06043850747</v>
      </c>
    </row>
    <row r="101" spans="1:162" x14ac:dyDescent="0.25">
      <c r="R101" s="3">
        <f t="shared" ref="R101:Y101" si="99">R100/R93</f>
        <v>0.77815181157440294</v>
      </c>
      <c r="S101" s="3">
        <f t="shared" si="99"/>
        <v>0.73401411357694646</v>
      </c>
      <c r="T101" s="3">
        <f t="shared" si="99"/>
        <v>0.63211853383853478</v>
      </c>
      <c r="U101" s="3">
        <f t="shared" si="99"/>
        <v>0.4587856896382011</v>
      </c>
      <c r="V101" s="3">
        <f t="shared" si="99"/>
        <v>0.61845222425358837</v>
      </c>
      <c r="W101" s="3">
        <f t="shared" si="99"/>
        <v>0.73061918318430652</v>
      </c>
      <c r="X101" s="3">
        <f t="shared" si="99"/>
        <v>0.80996777464369318</v>
      </c>
      <c r="Y101" s="3">
        <f t="shared" si="99"/>
        <v>0.86605495548985556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Render Flores</cp:lastModifiedBy>
  <dcterms:created xsi:type="dcterms:W3CDTF">2025-03-30T03:52:11Z</dcterms:created>
  <dcterms:modified xsi:type="dcterms:W3CDTF">2025-04-22T21:30:45Z</dcterms:modified>
</cp:coreProperties>
</file>