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Documents\"/>
    </mc:Choice>
  </mc:AlternateContent>
  <xr:revisionPtr revIDLastSave="0" documentId="13_ncr:1_{292D1E2B-23A7-4B6F-B40D-28C042A48102}" xr6:coauthVersionLast="47" xr6:coauthVersionMax="47" xr10:uidLastSave="{00000000-0000-0000-0000-000000000000}"/>
  <bookViews>
    <workbookView xWindow="3345" yWindow="900" windowWidth="21270" windowHeight="14355" xr2:uid="{A01DB42C-5223-4941-B241-BC5C0C7D8EF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2" l="1"/>
  <c r="T2" i="2"/>
  <c r="U2" i="2"/>
  <c r="R2" i="2"/>
  <c r="R27" i="2"/>
  <c r="S27" i="2" s="1"/>
  <c r="T27" i="2" s="1"/>
  <c r="U27" i="2" s="1"/>
  <c r="Q27" i="2"/>
  <c r="U6" i="2"/>
  <c r="T7" i="2"/>
  <c r="T6" i="2"/>
  <c r="S6" i="2"/>
  <c r="T5" i="2"/>
  <c r="U5" i="2" s="1"/>
  <c r="S5" i="2"/>
  <c r="R5" i="2"/>
  <c r="Q5" i="2"/>
  <c r="R6" i="2"/>
  <c r="Q6" i="2"/>
  <c r="O22" i="2"/>
  <c r="P22" i="2"/>
  <c r="N22" i="2"/>
  <c r="Q2" i="2"/>
  <c r="G2" i="2"/>
  <c r="H2" i="2" s="1"/>
  <c r="G18" i="2"/>
  <c r="F18" i="2"/>
  <c r="O26" i="2"/>
  <c r="O27" i="2" s="1"/>
  <c r="P26" i="2"/>
  <c r="P27" i="2" s="1"/>
  <c r="N26" i="2"/>
  <c r="N27" i="2" s="1"/>
  <c r="Q10" i="2"/>
  <c r="R10" i="2" s="1"/>
  <c r="S10" i="2" s="1"/>
  <c r="T10" i="2" s="1"/>
  <c r="U10" i="2" s="1"/>
  <c r="O9" i="2"/>
  <c r="N9" i="2"/>
  <c r="P9" i="2"/>
  <c r="M17" i="2"/>
  <c r="L17" i="2"/>
  <c r="N17" i="2"/>
  <c r="P17" i="2"/>
  <c r="O17" i="2"/>
  <c r="M4" i="2"/>
  <c r="N4" i="2"/>
  <c r="N21" i="2" s="1"/>
  <c r="O4" i="2"/>
  <c r="P4" i="2"/>
  <c r="P21" i="2" s="1"/>
  <c r="Q21" i="2" s="1"/>
  <c r="R21" i="2" s="1"/>
  <c r="S21" i="2" s="1"/>
  <c r="T21" i="2" s="1"/>
  <c r="U21" i="2" s="1"/>
  <c r="M7" i="2"/>
  <c r="N7" i="2"/>
  <c r="O7" i="2"/>
  <c r="P7" i="2"/>
  <c r="M9" i="2"/>
  <c r="L9" i="2"/>
  <c r="L7" i="2"/>
  <c r="L4" i="2"/>
  <c r="L21" i="2" s="1"/>
  <c r="P37" i="2"/>
  <c r="P33" i="2"/>
  <c r="M1" i="2"/>
  <c r="N1" i="2" s="1"/>
  <c r="O1" i="2" s="1"/>
  <c r="P1" i="2" s="1"/>
  <c r="Q1" i="2" s="1"/>
  <c r="R1" i="2" s="1"/>
  <c r="S1" i="2" s="1"/>
  <c r="T1" i="2" s="1"/>
  <c r="U1" i="2" s="1"/>
  <c r="D6" i="1"/>
  <c r="D5" i="1"/>
  <c r="D4" i="1"/>
  <c r="H18" i="2" l="1"/>
  <c r="I2" i="2"/>
  <c r="I18" i="2" s="1"/>
  <c r="Q3" i="2"/>
  <c r="Q4" i="2" s="1"/>
  <c r="Q17" i="2"/>
  <c r="R17" i="2"/>
  <c r="R3" i="2"/>
  <c r="R4" i="2" s="1"/>
  <c r="O8" i="2"/>
  <c r="O11" i="2" s="1"/>
  <c r="M8" i="2"/>
  <c r="M11" i="2" s="1"/>
  <c r="O21" i="2"/>
  <c r="M21" i="2"/>
  <c r="L8" i="2"/>
  <c r="L11" i="2" s="1"/>
  <c r="P8" i="2"/>
  <c r="P11" i="2" s="1"/>
  <c r="N8" i="2"/>
  <c r="N11" i="2" s="1"/>
  <c r="P29" i="2"/>
  <c r="Q9" i="2" s="1"/>
  <c r="Q29" i="2" s="1"/>
  <c r="D7" i="1"/>
  <c r="N13" i="2" l="1"/>
  <c r="N19" i="2"/>
  <c r="O13" i="2"/>
  <c r="O19" i="2"/>
  <c r="P13" i="2"/>
  <c r="P31" i="2" s="1"/>
  <c r="P19" i="2"/>
  <c r="M13" i="2"/>
  <c r="M31" i="2" s="1"/>
  <c r="M19" i="2"/>
  <c r="S17" i="2"/>
  <c r="S3" i="2"/>
  <c r="S4" i="2" s="1"/>
  <c r="R9" i="2"/>
  <c r="O31" i="2" l="1"/>
  <c r="O15" i="2"/>
  <c r="Q7" i="2"/>
  <c r="Q8" i="2" s="1"/>
  <c r="P15" i="2"/>
  <c r="N31" i="2"/>
  <c r="N15" i="2"/>
  <c r="T3" i="2"/>
  <c r="T4" i="2" s="1"/>
  <c r="T17" i="2"/>
  <c r="U17" i="2"/>
  <c r="U3" i="2"/>
  <c r="U4" i="2" s="1"/>
  <c r="R29" i="2"/>
  <c r="S9" i="2" s="1"/>
  <c r="Q11" i="2" l="1"/>
  <c r="Q12" i="2" s="1"/>
  <c r="Q13" i="2" s="1"/>
  <c r="Q22" i="2"/>
  <c r="Q31" i="2"/>
  <c r="R7" i="2"/>
  <c r="R8" i="2" s="1"/>
  <c r="S29" i="2"/>
  <c r="T9" i="2" s="1"/>
  <c r="L19" i="2"/>
  <c r="L13" i="2"/>
  <c r="L31" i="2" s="1"/>
  <c r="R11" i="2" l="1"/>
  <c r="R12" i="2" s="1"/>
  <c r="R13" i="2" s="1"/>
  <c r="R24" i="2" s="1"/>
  <c r="R22" i="2"/>
  <c r="Q24" i="2"/>
  <c r="Q15" i="2"/>
  <c r="S7" i="2"/>
  <c r="S8" i="2" s="1"/>
  <c r="T29" i="2"/>
  <c r="U9" i="2" s="1"/>
  <c r="R31" i="2" l="1"/>
  <c r="R15" i="2"/>
  <c r="S11" i="2"/>
  <c r="S12" i="2" s="1"/>
  <c r="S13" i="2" s="1"/>
  <c r="S24" i="2" s="1"/>
  <c r="S22" i="2"/>
  <c r="U7" i="2"/>
  <c r="U8" i="2" s="1"/>
  <c r="T8" i="2"/>
  <c r="U29" i="2"/>
  <c r="S15" i="2" l="1"/>
  <c r="S31" i="2"/>
  <c r="T11" i="2"/>
  <c r="T12" i="2" s="1"/>
  <c r="T13" i="2" s="1"/>
  <c r="T24" i="2" s="1"/>
  <c r="T22" i="2"/>
  <c r="U11" i="2"/>
  <c r="U12" i="2" s="1"/>
  <c r="U13" i="2" s="1"/>
  <c r="U24" i="2" s="1"/>
  <c r="U22" i="2"/>
  <c r="T31" i="2"/>
  <c r="T15" i="2"/>
  <c r="U31" i="2" l="1"/>
  <c r="V13" i="2"/>
  <c r="W13" i="2" s="1"/>
  <c r="X13" i="2" s="1"/>
  <c r="Y13" i="2" s="1"/>
  <c r="Z13" i="2" s="1"/>
  <c r="AA13" i="2" s="1"/>
  <c r="AB13" i="2" s="1"/>
  <c r="AC13" i="2" s="1"/>
  <c r="AD13" i="2" s="1"/>
  <c r="AE13" i="2" s="1"/>
  <c r="AF13" i="2" s="1"/>
  <c r="AG13" i="2" s="1"/>
  <c r="AH13" i="2" s="1"/>
  <c r="AI13" i="2" s="1"/>
  <c r="AJ13" i="2" s="1"/>
  <c r="AK13" i="2" s="1"/>
  <c r="AL13" i="2" s="1"/>
  <c r="AM13" i="2" s="1"/>
  <c r="AN13" i="2" s="1"/>
  <c r="AO13" i="2" s="1"/>
  <c r="AP13" i="2" s="1"/>
  <c r="AQ13" i="2" s="1"/>
  <c r="AR13" i="2" s="1"/>
  <c r="AS13" i="2" s="1"/>
  <c r="AT13" i="2" s="1"/>
  <c r="AU13" i="2" s="1"/>
  <c r="AV13" i="2" s="1"/>
  <c r="AW13" i="2" s="1"/>
  <c r="AX13" i="2" s="1"/>
  <c r="AY13" i="2" s="1"/>
  <c r="AZ13" i="2" s="1"/>
  <c r="BA13" i="2" s="1"/>
  <c r="BB13" i="2" s="1"/>
  <c r="BC13" i="2" s="1"/>
  <c r="BD13" i="2" s="1"/>
  <c r="BE13" i="2" s="1"/>
  <c r="BF13" i="2" s="1"/>
  <c r="BG13" i="2" s="1"/>
  <c r="BH13" i="2" s="1"/>
  <c r="BI13" i="2" s="1"/>
  <c r="BJ13" i="2" s="1"/>
  <c r="BK13" i="2" s="1"/>
  <c r="BL13" i="2" s="1"/>
  <c r="BM13" i="2" s="1"/>
  <c r="BN13" i="2" s="1"/>
  <c r="BO13" i="2" s="1"/>
  <c r="BP13" i="2" s="1"/>
  <c r="BQ13" i="2" s="1"/>
  <c r="BR13" i="2" s="1"/>
  <c r="BS13" i="2" s="1"/>
  <c r="BT13" i="2" s="1"/>
  <c r="BU13" i="2" s="1"/>
  <c r="BV13" i="2" s="1"/>
  <c r="BW13" i="2" s="1"/>
  <c r="BX13" i="2" s="1"/>
  <c r="BY13" i="2" s="1"/>
  <c r="BZ13" i="2" s="1"/>
  <c r="CA13" i="2" s="1"/>
  <c r="CB13" i="2" s="1"/>
  <c r="CC13" i="2" s="1"/>
  <c r="CD13" i="2" s="1"/>
  <c r="CE13" i="2" s="1"/>
  <c r="CF13" i="2" s="1"/>
  <c r="CG13" i="2" s="1"/>
  <c r="CH13" i="2" s="1"/>
  <c r="CI13" i="2" s="1"/>
  <c r="CJ13" i="2" s="1"/>
  <c r="CK13" i="2" s="1"/>
  <c r="CL13" i="2" s="1"/>
  <c r="CM13" i="2" s="1"/>
  <c r="CN13" i="2" s="1"/>
  <c r="CO13" i="2" s="1"/>
  <c r="CP13" i="2" s="1"/>
  <c r="CQ13" i="2" s="1"/>
  <c r="CR13" i="2" s="1"/>
  <c r="CS13" i="2" s="1"/>
  <c r="CT13" i="2" s="1"/>
  <c r="CU13" i="2" s="1"/>
  <c r="CV13" i="2" s="1"/>
  <c r="CW13" i="2" s="1"/>
  <c r="CX13" i="2" s="1"/>
  <c r="CY13" i="2" s="1"/>
  <c r="CZ13" i="2" s="1"/>
  <c r="DA13" i="2" s="1"/>
  <c r="DB13" i="2" s="1"/>
  <c r="DC13" i="2" s="1"/>
  <c r="DD13" i="2" s="1"/>
  <c r="DE13" i="2" s="1"/>
  <c r="DF13" i="2" s="1"/>
  <c r="DG13" i="2" s="1"/>
  <c r="DH13" i="2" s="1"/>
  <c r="DI13" i="2" s="1"/>
  <c r="DJ13" i="2" s="1"/>
  <c r="DK13" i="2" s="1"/>
  <c r="DL13" i="2" s="1"/>
  <c r="DM13" i="2" s="1"/>
  <c r="DN13" i="2" s="1"/>
  <c r="DO13" i="2" s="1"/>
  <c r="DP13" i="2" s="1"/>
  <c r="DQ13" i="2" s="1"/>
  <c r="DR13" i="2" s="1"/>
  <c r="DS13" i="2" s="1"/>
  <c r="DT13" i="2" s="1"/>
  <c r="DU13" i="2" s="1"/>
  <c r="DV13" i="2" s="1"/>
  <c r="DW13" i="2" s="1"/>
  <c r="DX13" i="2" s="1"/>
  <c r="DY13" i="2" s="1"/>
  <c r="DZ13" i="2" s="1"/>
  <c r="EA13" i="2" s="1"/>
  <c r="EB13" i="2" s="1"/>
  <c r="EC13" i="2" s="1"/>
  <c r="ED13" i="2" s="1"/>
  <c r="EE13" i="2" s="1"/>
  <c r="EF13" i="2" s="1"/>
  <c r="EG13" i="2" s="1"/>
  <c r="EH13" i="2" s="1"/>
  <c r="EI13" i="2" s="1"/>
  <c r="EJ13" i="2" s="1"/>
  <c r="EK13" i="2" s="1"/>
  <c r="EL13" i="2" s="1"/>
  <c r="U15" i="2"/>
  <c r="Q25" i="2"/>
  <c r="Q26" i="2" s="1"/>
  <c r="R25" i="2"/>
  <c r="R26" i="2" s="1"/>
  <c r="S25" i="2" l="1"/>
  <c r="S26" i="2" s="1"/>
  <c r="T25" i="2" l="1"/>
  <c r="T26" i="2" s="1"/>
  <c r="U25" i="2"/>
  <c r="U26" i="2" s="1"/>
  <c r="V26" i="2" s="1"/>
  <c r="W26" i="2" s="1"/>
  <c r="X26" i="2" s="1"/>
  <c r="Y26" i="2" s="1"/>
  <c r="Z26" i="2" s="1"/>
  <c r="AA26" i="2" s="1"/>
  <c r="AB26" i="2" s="1"/>
  <c r="AC26" i="2" s="1"/>
  <c r="AD26" i="2" s="1"/>
  <c r="AE26" i="2" s="1"/>
  <c r="AF26" i="2" s="1"/>
  <c r="AG26" i="2" s="1"/>
  <c r="AH26" i="2" s="1"/>
  <c r="AI26" i="2" s="1"/>
  <c r="AJ26" i="2" s="1"/>
  <c r="AK26" i="2" s="1"/>
  <c r="AL26" i="2" s="1"/>
  <c r="AM26" i="2" s="1"/>
  <c r="AN26" i="2" s="1"/>
  <c r="AO26" i="2" s="1"/>
  <c r="AP26" i="2" s="1"/>
  <c r="AQ26" i="2" s="1"/>
  <c r="AR26" i="2" s="1"/>
  <c r="AS26" i="2" s="1"/>
  <c r="AT26" i="2" s="1"/>
  <c r="AU26" i="2" s="1"/>
  <c r="AV26" i="2" s="1"/>
  <c r="AW26" i="2" s="1"/>
  <c r="AX26" i="2" s="1"/>
  <c r="AY26" i="2" s="1"/>
  <c r="AZ26" i="2" s="1"/>
  <c r="BA26" i="2" s="1"/>
  <c r="BB26" i="2" s="1"/>
  <c r="BC26" i="2" s="1"/>
  <c r="BD26" i="2" s="1"/>
  <c r="BE26" i="2" s="1"/>
  <c r="BF26" i="2" s="1"/>
  <c r="BG26" i="2" s="1"/>
  <c r="BH26" i="2" s="1"/>
  <c r="BI26" i="2" s="1"/>
  <c r="BJ26" i="2" s="1"/>
  <c r="BK26" i="2" s="1"/>
  <c r="BL26" i="2" s="1"/>
  <c r="BM26" i="2" s="1"/>
  <c r="BN26" i="2" s="1"/>
  <c r="BO26" i="2" s="1"/>
  <c r="BP26" i="2" s="1"/>
  <c r="BQ26" i="2" s="1"/>
  <c r="BR26" i="2" s="1"/>
  <c r="BS26" i="2" s="1"/>
  <c r="BT26" i="2" s="1"/>
  <c r="BU26" i="2" s="1"/>
  <c r="BV26" i="2" s="1"/>
  <c r="BW26" i="2" s="1"/>
  <c r="BX26" i="2" s="1"/>
  <c r="BY26" i="2" s="1"/>
  <c r="BZ26" i="2" s="1"/>
  <c r="CA26" i="2" s="1"/>
  <c r="CB26" i="2" s="1"/>
  <c r="CC26" i="2" s="1"/>
  <c r="CD26" i="2" s="1"/>
  <c r="CE26" i="2" s="1"/>
  <c r="CF26" i="2" s="1"/>
  <c r="CG26" i="2" s="1"/>
  <c r="CH26" i="2" s="1"/>
  <c r="CI26" i="2" s="1"/>
  <c r="CJ26" i="2" s="1"/>
  <c r="CK26" i="2" s="1"/>
  <c r="CL26" i="2" s="1"/>
  <c r="CM26" i="2" s="1"/>
  <c r="CN26" i="2" s="1"/>
  <c r="CO26" i="2" s="1"/>
  <c r="CP26" i="2" s="1"/>
  <c r="CQ26" i="2" s="1"/>
  <c r="CR26" i="2" s="1"/>
  <c r="CS26" i="2" s="1"/>
  <c r="CT26" i="2" s="1"/>
  <c r="CU26" i="2" s="1"/>
  <c r="CV26" i="2" s="1"/>
  <c r="CW26" i="2" s="1"/>
  <c r="CX26" i="2" s="1"/>
  <c r="CY26" i="2" s="1"/>
  <c r="CZ26" i="2" s="1"/>
  <c r="DA26" i="2" s="1"/>
  <c r="DB26" i="2" s="1"/>
  <c r="DC26" i="2" s="1"/>
  <c r="DD26" i="2" s="1"/>
  <c r="DE26" i="2" s="1"/>
  <c r="DF26" i="2" s="1"/>
  <c r="DG26" i="2" s="1"/>
  <c r="DH26" i="2" s="1"/>
  <c r="DI26" i="2" s="1"/>
  <c r="DJ26" i="2" s="1"/>
  <c r="DK26" i="2" s="1"/>
  <c r="DL26" i="2" s="1"/>
  <c r="DM26" i="2" s="1"/>
  <c r="DN26" i="2" s="1"/>
  <c r="DO26" i="2" s="1"/>
  <c r="DP26" i="2" s="1"/>
  <c r="DQ26" i="2" s="1"/>
  <c r="DR26" i="2" s="1"/>
  <c r="DS26" i="2" s="1"/>
  <c r="DT26" i="2" s="1"/>
  <c r="X18" i="2" l="1"/>
  <c r="X19" i="2" s="1"/>
  <c r="X20" i="2" s="1"/>
</calcChain>
</file>

<file path=xl/sharedStrings.xml><?xml version="1.0" encoding="utf-8"?>
<sst xmlns="http://schemas.openxmlformats.org/spreadsheetml/2006/main" count="53" uniqueCount="46">
  <si>
    <t>NVDA</t>
  </si>
  <si>
    <t>Price</t>
  </si>
  <si>
    <t>Shares</t>
  </si>
  <si>
    <t>MC</t>
  </si>
  <si>
    <t>Cash</t>
  </si>
  <si>
    <t>Debt</t>
  </si>
  <si>
    <t>EV</t>
  </si>
  <si>
    <t>Q424</t>
  </si>
  <si>
    <t>Revenue</t>
  </si>
  <si>
    <t>COGS</t>
  </si>
  <si>
    <t>Gross Profit</t>
  </si>
  <si>
    <t>R&amp;D</t>
  </si>
  <si>
    <t>SG&amp;A</t>
  </si>
  <si>
    <t>OPEX</t>
  </si>
  <si>
    <t>Operating Income</t>
  </si>
  <si>
    <t>Interest</t>
  </si>
  <si>
    <t>Other</t>
  </si>
  <si>
    <t>Pretax Income</t>
  </si>
  <si>
    <t>Tax</t>
  </si>
  <si>
    <t>Net Income</t>
  </si>
  <si>
    <t>EPS</t>
  </si>
  <si>
    <t>Revenue Growth y/y</t>
  </si>
  <si>
    <t>Revenue Growth q/q</t>
  </si>
  <si>
    <t>Gross Margin</t>
  </si>
  <si>
    <t>CFFO</t>
  </si>
  <si>
    <t>CX</t>
  </si>
  <si>
    <t>FCF</t>
  </si>
  <si>
    <t>Q124</t>
  </si>
  <si>
    <t>Q224</t>
  </si>
  <si>
    <t>Q324</t>
  </si>
  <si>
    <t>Q125</t>
  </si>
  <si>
    <t>Net Cash</t>
  </si>
  <si>
    <t>AR</t>
  </si>
  <si>
    <t>AP</t>
  </si>
  <si>
    <t>NPV</t>
  </si>
  <si>
    <t>Maturity</t>
  </si>
  <si>
    <t>ROIC</t>
  </si>
  <si>
    <t>Discount</t>
  </si>
  <si>
    <t>Diff</t>
  </si>
  <si>
    <t>Tax Rate</t>
  </si>
  <si>
    <t>Model NI</t>
  </si>
  <si>
    <t>Reported NI</t>
  </si>
  <si>
    <t>Q425</t>
  </si>
  <si>
    <t>Q225</t>
  </si>
  <si>
    <t>Q325</t>
  </si>
  <si>
    <t>Operating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</si>
</sst>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9" fontId="1" fillId="0" borderId="0" xfId="0" applyNumberFormat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0</xdr:row>
      <xdr:rowOff>28575</xdr:rowOff>
    </xdr:from>
    <xdr:to>
      <xdr:col>5</xdr:col>
      <xdr:colOff>9525</xdr:colOff>
      <xdr:row>41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378CE67-E160-B97F-9ED5-8075185E0983}"/>
            </a:ext>
          </a:extLst>
        </xdr:cNvPr>
        <xdr:cNvCxnSpPr/>
      </xdr:nvCxnSpPr>
      <xdr:spPr>
        <a:xfrm>
          <a:off x="3686175" y="28575"/>
          <a:ext cx="19050" cy="68294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0</xdr:row>
      <xdr:rowOff>0</xdr:rowOff>
    </xdr:from>
    <xdr:to>
      <xdr:col>16</xdr:col>
      <xdr:colOff>19050</xdr:colOff>
      <xdr:row>40</xdr:row>
      <xdr:rowOff>161925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5C79990-BAC3-448E-9B59-F20A57DBC028}"/>
            </a:ext>
          </a:extLst>
        </xdr:cNvPr>
        <xdr:cNvCxnSpPr/>
      </xdr:nvCxnSpPr>
      <xdr:spPr>
        <a:xfrm>
          <a:off x="7962900" y="0"/>
          <a:ext cx="19050" cy="68294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5FA77-31DD-4330-BECC-4D64D4EAFB80}">
  <dimension ref="A1:E7"/>
  <sheetViews>
    <sheetView tabSelected="1" zoomScale="250" zoomScaleNormal="250" workbookViewId="0">
      <selection activeCell="D3" sqref="D3"/>
    </sheetView>
  </sheetViews>
  <sheetFormatPr defaultRowHeight="15" x14ac:dyDescent="0.25"/>
  <cols>
    <col min="4" max="5" width="9.85546875" customWidth="1"/>
  </cols>
  <sheetData>
    <row r="1" spans="1:5" x14ac:dyDescent="0.25">
      <c r="A1" s="1" t="s">
        <v>0</v>
      </c>
    </row>
    <row r="2" spans="1:5" x14ac:dyDescent="0.25">
      <c r="C2" t="s">
        <v>1</v>
      </c>
      <c r="D2" s="2">
        <v>105</v>
      </c>
    </row>
    <row r="3" spans="1:5" x14ac:dyDescent="0.25">
      <c r="C3" t="s">
        <v>2</v>
      </c>
      <c r="D3" s="2">
        <v>24400</v>
      </c>
      <c r="E3" t="s">
        <v>42</v>
      </c>
    </row>
    <row r="4" spans="1:5" x14ac:dyDescent="0.25">
      <c r="C4" t="s">
        <v>3</v>
      </c>
      <c r="D4" s="2">
        <f>D3*D2</f>
        <v>2562000</v>
      </c>
    </row>
    <row r="5" spans="1:5" x14ac:dyDescent="0.25">
      <c r="C5" t="s">
        <v>4</v>
      </c>
      <c r="D5" s="2">
        <f>8589+34621</f>
        <v>43210</v>
      </c>
      <c r="E5" t="s">
        <v>42</v>
      </c>
    </row>
    <row r="6" spans="1:5" x14ac:dyDescent="0.25">
      <c r="C6" t="s">
        <v>5</v>
      </c>
      <c r="D6" s="2">
        <f>8463+4245</f>
        <v>12708</v>
      </c>
      <c r="E6" t="s">
        <v>42</v>
      </c>
    </row>
    <row r="7" spans="1:5" x14ac:dyDescent="0.25">
      <c r="C7" t="s">
        <v>6</v>
      </c>
      <c r="D7" s="2">
        <f>D4+D6-D5</f>
        <v>2531498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BE28-398D-4CC8-A7C9-E94B6BC720A8}">
  <dimension ref="A1:EL37"/>
  <sheetViews>
    <sheetView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U18" sqref="U18"/>
    </sheetView>
  </sheetViews>
  <sheetFormatPr defaultRowHeight="15" x14ac:dyDescent="0.25"/>
  <cols>
    <col min="1" max="1" width="18.85546875" style="2" customWidth="1"/>
    <col min="2" max="16384" width="9.140625" style="2"/>
  </cols>
  <sheetData>
    <row r="1" spans="1:142" x14ac:dyDescent="0.25">
      <c r="B1" s="2" t="s">
        <v>27</v>
      </c>
      <c r="C1" s="2" t="s">
        <v>28</v>
      </c>
      <c r="D1" s="2" t="s">
        <v>29</v>
      </c>
      <c r="E1" s="2" t="s">
        <v>7</v>
      </c>
      <c r="F1" s="2" t="s">
        <v>30</v>
      </c>
      <c r="G1" s="2" t="s">
        <v>43</v>
      </c>
      <c r="H1" s="2" t="s">
        <v>44</v>
      </c>
      <c r="I1" s="2" t="s">
        <v>42</v>
      </c>
      <c r="K1" s="4">
        <v>2020</v>
      </c>
      <c r="L1" s="4">
        <v>2021</v>
      </c>
      <c r="M1" s="4">
        <f>L1+1</f>
        <v>2022</v>
      </c>
      <c r="N1" s="4">
        <f t="shared" ref="N1:U1" si="0">M1+1</f>
        <v>2023</v>
      </c>
      <c r="O1" s="4">
        <f t="shared" si="0"/>
        <v>2024</v>
      </c>
      <c r="P1" s="4">
        <f t="shared" si="0"/>
        <v>2025</v>
      </c>
      <c r="Q1" s="4">
        <f t="shared" si="0"/>
        <v>2026</v>
      </c>
      <c r="R1" s="4">
        <f t="shared" si="0"/>
        <v>2027</v>
      </c>
      <c r="S1" s="4">
        <f t="shared" si="0"/>
        <v>2028</v>
      </c>
      <c r="T1" s="4">
        <f t="shared" si="0"/>
        <v>2029</v>
      </c>
      <c r="U1" s="4">
        <f t="shared" si="0"/>
        <v>2030</v>
      </c>
    </row>
    <row r="2" spans="1:142" s="3" customFormat="1" x14ac:dyDescent="0.25">
      <c r="A2" s="3" t="s">
        <v>8</v>
      </c>
      <c r="E2" s="3">
        <v>39300</v>
      </c>
      <c r="F2" s="3">
        <v>43000</v>
      </c>
      <c r="G2" s="3">
        <f>F2*1.09</f>
        <v>46870</v>
      </c>
      <c r="H2" s="3">
        <f t="shared" ref="H2:I2" si="1">G2*1.09</f>
        <v>51088.3</v>
      </c>
      <c r="I2" s="3">
        <f t="shared" si="1"/>
        <v>55686.24700000001</v>
      </c>
      <c r="N2" s="3">
        <v>26974</v>
      </c>
      <c r="O2" s="3">
        <v>60922</v>
      </c>
      <c r="P2" s="3">
        <v>130497</v>
      </c>
      <c r="Q2" s="3">
        <f>P2*1.55</f>
        <v>202270.35</v>
      </c>
      <c r="R2" s="3">
        <f>Q2*1.33</f>
        <v>269019.56550000003</v>
      </c>
      <c r="S2" s="3">
        <f t="shared" ref="S2:U2" si="2">R2*1.33</f>
        <v>357796.02211500006</v>
      </c>
      <c r="T2" s="3">
        <f t="shared" si="2"/>
        <v>475868.70941295009</v>
      </c>
      <c r="U2" s="3">
        <f t="shared" si="2"/>
        <v>632905.38351922366</v>
      </c>
    </row>
    <row r="3" spans="1:142" x14ac:dyDescent="0.25">
      <c r="A3" s="2" t="s">
        <v>9</v>
      </c>
      <c r="N3" s="2">
        <v>11618</v>
      </c>
      <c r="O3" s="2">
        <v>16621</v>
      </c>
      <c r="P3" s="2">
        <v>32639</v>
      </c>
      <c r="Q3" s="2">
        <f>Q2*(1-Q21)</f>
        <v>49073.650999999998</v>
      </c>
      <c r="R3" s="2">
        <f t="shared" ref="R3:U3" si="3">R2*(1-R21)</f>
        <v>63230.439733300002</v>
      </c>
      <c r="S3" s="2">
        <f t="shared" si="3"/>
        <v>81359.489472591886</v>
      </c>
      <c r="T3" s="2">
        <f t="shared" si="3"/>
        <v>104531.51511440318</v>
      </c>
      <c r="U3" s="2">
        <f t="shared" si="3"/>
        <v>134088.13041798558</v>
      </c>
      <c r="Y3" s="3"/>
    </row>
    <row r="4" spans="1:142" x14ac:dyDescent="0.25">
      <c r="A4" s="2" t="s">
        <v>10</v>
      </c>
      <c r="L4" s="2">
        <f>L2-L3</f>
        <v>0</v>
      </c>
      <c r="M4" s="2">
        <f t="shared" ref="M4:P4" si="4">M2-M3</f>
        <v>0</v>
      </c>
      <c r="N4" s="2">
        <f t="shared" si="4"/>
        <v>15356</v>
      </c>
      <c r="O4" s="2">
        <f t="shared" si="4"/>
        <v>44301</v>
      </c>
      <c r="P4" s="2">
        <f t="shared" si="4"/>
        <v>97858</v>
      </c>
      <c r="Q4" s="2">
        <f>Q2-Q3</f>
        <v>153196.69900000002</v>
      </c>
      <c r="R4" s="2">
        <f t="shared" ref="R4:U4" si="5">R2-R3</f>
        <v>205789.12576670002</v>
      </c>
      <c r="S4" s="2">
        <f t="shared" si="5"/>
        <v>276436.53264240816</v>
      </c>
      <c r="T4" s="2">
        <f t="shared" si="5"/>
        <v>371337.19429854688</v>
      </c>
      <c r="U4" s="2">
        <f t="shared" si="5"/>
        <v>498817.25310123805</v>
      </c>
      <c r="Y4" s="3"/>
    </row>
    <row r="5" spans="1:142" x14ac:dyDescent="0.25">
      <c r="A5" s="2" t="s">
        <v>11</v>
      </c>
      <c r="N5" s="2">
        <v>7339</v>
      </c>
      <c r="O5" s="2">
        <v>8675</v>
      </c>
      <c r="P5" s="2">
        <v>12914</v>
      </c>
      <c r="Q5" s="2">
        <f>P5*1.3</f>
        <v>16788.2</v>
      </c>
      <c r="R5" s="2">
        <f>Q5*1.2</f>
        <v>20145.84</v>
      </c>
      <c r="S5" s="2">
        <f>R5*1.1</f>
        <v>22160.424000000003</v>
      </c>
      <c r="T5" s="2">
        <f t="shared" ref="T5:U5" si="6">S5*1.1</f>
        <v>24376.466400000005</v>
      </c>
      <c r="U5" s="2">
        <f t="shared" si="6"/>
        <v>26814.113040000007</v>
      </c>
      <c r="Y5" s="3"/>
    </row>
    <row r="6" spans="1:142" x14ac:dyDescent="0.25">
      <c r="A6" s="2" t="s">
        <v>12</v>
      </c>
      <c r="N6" s="2">
        <v>2440</v>
      </c>
      <c r="O6" s="2">
        <v>2654</v>
      </c>
      <c r="P6" s="2">
        <v>3491</v>
      </c>
      <c r="Q6" s="2">
        <f>P6*1.2</f>
        <v>4189.2</v>
      </c>
      <c r="R6" s="2">
        <f>Q6*1.1</f>
        <v>4608.12</v>
      </c>
      <c r="S6" s="2">
        <f>R6*1.05</f>
        <v>4838.5259999999998</v>
      </c>
      <c r="T6" s="2">
        <f t="shared" ref="T6:U6" si="7">S6*1.05</f>
        <v>5080.4522999999999</v>
      </c>
      <c r="U6" s="2">
        <f t="shared" si="7"/>
        <v>5334.4749149999998</v>
      </c>
      <c r="Y6" s="3"/>
    </row>
    <row r="7" spans="1:142" x14ac:dyDescent="0.25">
      <c r="A7" s="2" t="s">
        <v>13</v>
      </c>
      <c r="L7" s="2">
        <f>SUM(L5:L6)</f>
        <v>0</v>
      </c>
      <c r="M7" s="2">
        <f t="shared" ref="M7:P7" si="8">SUM(M5:M6)</f>
        <v>0</v>
      </c>
      <c r="N7" s="2">
        <f t="shared" si="8"/>
        <v>9779</v>
      </c>
      <c r="O7" s="2">
        <f t="shared" si="8"/>
        <v>11329</v>
      </c>
      <c r="P7" s="2">
        <f t="shared" si="8"/>
        <v>16405</v>
      </c>
      <c r="Q7" s="2">
        <f>SUM(Q5:Q6)</f>
        <v>20977.4</v>
      </c>
      <c r="R7" s="2">
        <f t="shared" ref="R7:U7" si="9">SUM(R5:R6)</f>
        <v>24753.96</v>
      </c>
      <c r="S7" s="2">
        <f t="shared" si="9"/>
        <v>26998.950000000004</v>
      </c>
      <c r="T7" s="2">
        <f t="shared" si="9"/>
        <v>29456.918700000006</v>
      </c>
      <c r="U7" s="2">
        <f t="shared" si="9"/>
        <v>32148.587955000006</v>
      </c>
      <c r="Y7" s="3"/>
    </row>
    <row r="8" spans="1:142" x14ac:dyDescent="0.25">
      <c r="A8" s="2" t="s">
        <v>14</v>
      </c>
      <c r="L8" s="2">
        <f>L4-L7</f>
        <v>0</v>
      </c>
      <c r="M8" s="2">
        <f t="shared" ref="M8:P8" si="10">M4-M7</f>
        <v>0</v>
      </c>
      <c r="N8" s="2">
        <f t="shared" si="10"/>
        <v>5577</v>
      </c>
      <c r="O8" s="2">
        <f t="shared" si="10"/>
        <v>32972</v>
      </c>
      <c r="P8" s="2">
        <f t="shared" si="10"/>
        <v>81453</v>
      </c>
      <c r="Q8" s="2">
        <f>Q4-Q7</f>
        <v>132219.29900000003</v>
      </c>
      <c r="R8" s="2">
        <f t="shared" ref="R8:U8" si="11">R4-R7</f>
        <v>181035.16576670003</v>
      </c>
      <c r="S8" s="2">
        <f t="shared" si="11"/>
        <v>249437.58264240815</v>
      </c>
      <c r="T8" s="2">
        <f t="shared" si="11"/>
        <v>341880.2755985469</v>
      </c>
      <c r="U8" s="2">
        <f t="shared" si="11"/>
        <v>466668.66514623805</v>
      </c>
      <c r="Y8" s="3"/>
    </row>
    <row r="9" spans="1:142" x14ac:dyDescent="0.25">
      <c r="A9" s="2" t="s">
        <v>15</v>
      </c>
      <c r="L9" s="2">
        <f>K29*$X$15</f>
        <v>0</v>
      </c>
      <c r="M9" s="2">
        <f>L29*$X$15</f>
        <v>0</v>
      </c>
      <c r="N9" s="2">
        <f>267-262</f>
        <v>5</v>
      </c>
      <c r="O9" s="2">
        <f>866-257</f>
        <v>609</v>
      </c>
      <c r="P9" s="2">
        <f>1786-247</f>
        <v>1539</v>
      </c>
      <c r="Q9" s="2">
        <f>P29*$X$15</f>
        <v>1830.12</v>
      </c>
      <c r="R9" s="2">
        <f>Q29*$X$15</f>
        <v>1939.9271999999999</v>
      </c>
      <c r="S9" s="2">
        <f>R29*$X$15</f>
        <v>2056.3228319999998</v>
      </c>
      <c r="T9" s="2">
        <f>S29*$X$15</f>
        <v>2179.7022019199999</v>
      </c>
      <c r="U9" s="2">
        <f>T29*$X$15</f>
        <v>2310.4843340351999</v>
      </c>
      <c r="Y9" s="3"/>
    </row>
    <row r="10" spans="1:142" x14ac:dyDescent="0.25">
      <c r="A10" s="2" t="s">
        <v>16</v>
      </c>
      <c r="N10" s="2">
        <v>-48</v>
      </c>
      <c r="O10" s="2">
        <v>237</v>
      </c>
      <c r="P10" s="2">
        <v>1034</v>
      </c>
      <c r="Q10" s="2">
        <f>P10*1.02</f>
        <v>1054.68</v>
      </c>
      <c r="R10" s="2">
        <f t="shared" ref="R10:U10" si="12">Q10*1.02</f>
        <v>1075.7736</v>
      </c>
      <c r="S10" s="2">
        <f t="shared" si="12"/>
        <v>1097.289072</v>
      </c>
      <c r="T10" s="2">
        <f t="shared" si="12"/>
        <v>1119.2348534400001</v>
      </c>
      <c r="U10" s="2">
        <f t="shared" si="12"/>
        <v>1141.6195505088001</v>
      </c>
      <c r="Y10" s="3"/>
    </row>
    <row r="11" spans="1:142" x14ac:dyDescent="0.25">
      <c r="A11" s="2" t="s">
        <v>17</v>
      </c>
      <c r="L11" s="2">
        <f>L8+SUM(L9:L10)</f>
        <v>0</v>
      </c>
      <c r="M11" s="2">
        <f t="shared" ref="M11:P11" si="13">M8+SUM(M9:M10)</f>
        <v>0</v>
      </c>
      <c r="N11" s="2">
        <f t="shared" si="13"/>
        <v>5534</v>
      </c>
      <c r="O11" s="2">
        <f t="shared" si="13"/>
        <v>33818</v>
      </c>
      <c r="P11" s="2">
        <f t="shared" si="13"/>
        <v>84026</v>
      </c>
      <c r="Q11" s="2">
        <f>Q8+SUM(Q9:Q10)</f>
        <v>135104.09900000002</v>
      </c>
      <c r="R11" s="2">
        <f t="shared" ref="R11:U11" si="14">R8+SUM(R9:R10)</f>
        <v>184050.86656670002</v>
      </c>
      <c r="S11" s="2">
        <f t="shared" si="14"/>
        <v>252591.19454640814</v>
      </c>
      <c r="T11" s="2">
        <f t="shared" si="14"/>
        <v>345179.2126539069</v>
      </c>
      <c r="U11" s="2">
        <f t="shared" si="14"/>
        <v>470120.76903078204</v>
      </c>
    </row>
    <row r="12" spans="1:142" x14ac:dyDescent="0.25">
      <c r="A12" s="2" t="s">
        <v>18</v>
      </c>
      <c r="N12" s="2">
        <v>-187</v>
      </c>
      <c r="O12" s="2">
        <v>4058</v>
      </c>
      <c r="P12" s="2">
        <v>11146</v>
      </c>
      <c r="Q12" s="2">
        <f>Q11*Q19</f>
        <v>25669.778810000003</v>
      </c>
      <c r="R12" s="2">
        <f t="shared" ref="R12:U12" si="15">R11*R19</f>
        <v>34969.664647673002</v>
      </c>
      <c r="S12" s="2">
        <f t="shared" si="15"/>
        <v>47992.326963817548</v>
      </c>
      <c r="T12" s="2">
        <f t="shared" si="15"/>
        <v>65584.050404242313</v>
      </c>
      <c r="U12" s="2">
        <f t="shared" si="15"/>
        <v>89322.946115848594</v>
      </c>
    </row>
    <row r="13" spans="1:142" s="3" customFormat="1" x14ac:dyDescent="0.25">
      <c r="A13" s="3" t="s">
        <v>19</v>
      </c>
      <c r="L13" s="3">
        <f>L11-L12</f>
        <v>0</v>
      </c>
      <c r="M13" s="3">
        <f t="shared" ref="M13:P13" si="16">M11-M12</f>
        <v>0</v>
      </c>
      <c r="N13" s="3">
        <f t="shared" si="16"/>
        <v>5721</v>
      </c>
      <c r="O13" s="3">
        <f t="shared" si="16"/>
        <v>29760</v>
      </c>
      <c r="P13" s="3">
        <f t="shared" si="16"/>
        <v>72880</v>
      </c>
      <c r="Q13" s="3">
        <f>Q11-Q12</f>
        <v>109434.32019000001</v>
      </c>
      <c r="R13" s="3">
        <f t="shared" ref="R13:U13" si="17">R11-R12</f>
        <v>149081.20191902702</v>
      </c>
      <c r="S13" s="3">
        <f t="shared" si="17"/>
        <v>204598.86758259058</v>
      </c>
      <c r="T13" s="3">
        <f t="shared" si="17"/>
        <v>279595.1622496646</v>
      </c>
      <c r="U13" s="3">
        <f t="shared" si="17"/>
        <v>380797.82291493344</v>
      </c>
      <c r="V13" s="3">
        <f t="shared" ref="V13:BA13" si="18">U13*(1+$X$16)</f>
        <v>384605.8011440828</v>
      </c>
      <c r="W13" s="3">
        <f t="shared" si="18"/>
        <v>388451.85915552365</v>
      </c>
      <c r="X13" s="3">
        <f t="shared" si="18"/>
        <v>392336.37774707889</v>
      </c>
      <c r="Y13" s="3">
        <f t="shared" si="18"/>
        <v>396259.74152454967</v>
      </c>
      <c r="Z13" s="3">
        <f t="shared" si="18"/>
        <v>400222.33893979515</v>
      </c>
      <c r="AA13" s="3">
        <f t="shared" si="18"/>
        <v>404224.56232919311</v>
      </c>
      <c r="AB13" s="3">
        <f t="shared" si="18"/>
        <v>408266.80795248505</v>
      </c>
      <c r="AC13" s="3">
        <f t="shared" si="18"/>
        <v>412349.47603200993</v>
      </c>
      <c r="AD13" s="3">
        <f t="shared" si="18"/>
        <v>416472.97079233004</v>
      </c>
      <c r="AE13" s="3">
        <f t="shared" si="18"/>
        <v>420637.70050025336</v>
      </c>
      <c r="AF13" s="3">
        <f t="shared" si="18"/>
        <v>424844.07750525587</v>
      </c>
      <c r="AG13" s="3">
        <f t="shared" si="18"/>
        <v>429092.51828030846</v>
      </c>
      <c r="AH13" s="3">
        <f t="shared" si="18"/>
        <v>433383.44346311153</v>
      </c>
      <c r="AI13" s="3">
        <f t="shared" si="18"/>
        <v>437717.27789774264</v>
      </c>
      <c r="AJ13" s="3">
        <f t="shared" si="18"/>
        <v>442094.45067672007</v>
      </c>
      <c r="AK13" s="3">
        <f t="shared" si="18"/>
        <v>446515.39518348727</v>
      </c>
      <c r="AL13" s="3">
        <f t="shared" si="18"/>
        <v>450980.54913532216</v>
      </c>
      <c r="AM13" s="3">
        <f t="shared" si="18"/>
        <v>455490.35462667537</v>
      </c>
      <c r="AN13" s="3">
        <f t="shared" si="18"/>
        <v>460045.25817294215</v>
      </c>
      <c r="AO13" s="3">
        <f t="shared" si="18"/>
        <v>464645.7107546716</v>
      </c>
      <c r="AP13" s="3">
        <f t="shared" si="18"/>
        <v>469292.16786221834</v>
      </c>
      <c r="AQ13" s="3">
        <f t="shared" si="18"/>
        <v>473985.08954084053</v>
      </c>
      <c r="AR13" s="3">
        <f t="shared" si="18"/>
        <v>478724.94043624896</v>
      </c>
      <c r="AS13" s="3">
        <f t="shared" si="18"/>
        <v>483512.18984061148</v>
      </c>
      <c r="AT13" s="3">
        <f t="shared" si="18"/>
        <v>488347.3117390176</v>
      </c>
      <c r="AU13" s="3">
        <f t="shared" si="18"/>
        <v>493230.78485640779</v>
      </c>
      <c r="AV13" s="3">
        <f t="shared" si="18"/>
        <v>498163.09270497184</v>
      </c>
      <c r="AW13" s="3">
        <f t="shared" si="18"/>
        <v>503144.72363202157</v>
      </c>
      <c r="AX13" s="3">
        <f t="shared" si="18"/>
        <v>508176.17086834181</v>
      </c>
      <c r="AY13" s="3">
        <f t="shared" si="18"/>
        <v>513257.93257702526</v>
      </c>
      <c r="AZ13" s="3">
        <f t="shared" si="18"/>
        <v>518390.51190279552</v>
      </c>
      <c r="BA13" s="3">
        <f t="shared" si="18"/>
        <v>523574.41702182346</v>
      </c>
      <c r="BB13" s="3">
        <f t="shared" ref="BB13:CG13" si="19">BA13*(1+$X$16)</f>
        <v>528810.16119204171</v>
      </c>
      <c r="BC13" s="3">
        <f t="shared" si="19"/>
        <v>534098.2628039621</v>
      </c>
      <c r="BD13" s="3">
        <f t="shared" si="19"/>
        <v>539439.24543200177</v>
      </c>
      <c r="BE13" s="3">
        <f t="shared" si="19"/>
        <v>544833.63788632175</v>
      </c>
      <c r="BF13" s="3">
        <f t="shared" si="19"/>
        <v>550281.97426518495</v>
      </c>
      <c r="BG13" s="3">
        <f t="shared" si="19"/>
        <v>555784.79400783684</v>
      </c>
      <c r="BH13" s="3">
        <f t="shared" si="19"/>
        <v>561342.6419479152</v>
      </c>
      <c r="BI13" s="3">
        <f t="shared" si="19"/>
        <v>566956.06836739439</v>
      </c>
      <c r="BJ13" s="3">
        <f t="shared" si="19"/>
        <v>572625.62905106833</v>
      </c>
      <c r="BK13" s="3">
        <f t="shared" si="19"/>
        <v>578351.88534157898</v>
      </c>
      <c r="BL13" s="3">
        <f t="shared" si="19"/>
        <v>584135.40419499483</v>
      </c>
      <c r="BM13" s="3">
        <f t="shared" si="19"/>
        <v>589976.75823694479</v>
      </c>
      <c r="BN13" s="3">
        <f t="shared" si="19"/>
        <v>595876.52581931429</v>
      </c>
      <c r="BO13" s="3">
        <f t="shared" si="19"/>
        <v>601835.29107750743</v>
      </c>
      <c r="BP13" s="3">
        <f t="shared" si="19"/>
        <v>607853.64398828254</v>
      </c>
      <c r="BQ13" s="3">
        <f t="shared" si="19"/>
        <v>613932.18042816536</v>
      </c>
      <c r="BR13" s="3">
        <f t="shared" si="19"/>
        <v>620071.50223244703</v>
      </c>
      <c r="BS13" s="3">
        <f t="shared" si="19"/>
        <v>626272.2172547715</v>
      </c>
      <c r="BT13" s="3">
        <f t="shared" si="19"/>
        <v>632534.93942731922</v>
      </c>
      <c r="BU13" s="3">
        <f t="shared" si="19"/>
        <v>638860.28882159246</v>
      </c>
      <c r="BV13" s="3">
        <f t="shared" si="19"/>
        <v>645248.89170980838</v>
      </c>
      <c r="BW13" s="3">
        <f t="shared" si="19"/>
        <v>651701.38062690641</v>
      </c>
      <c r="BX13" s="3">
        <f t="shared" si="19"/>
        <v>658218.39443317545</v>
      </c>
      <c r="BY13" s="3">
        <f t="shared" si="19"/>
        <v>664800.57837750716</v>
      </c>
      <c r="BZ13" s="3">
        <f t="shared" si="19"/>
        <v>671448.58416128228</v>
      </c>
      <c r="CA13" s="3">
        <f t="shared" si="19"/>
        <v>678163.07000289508</v>
      </c>
      <c r="CB13" s="3">
        <f t="shared" si="19"/>
        <v>684944.70070292405</v>
      </c>
      <c r="CC13" s="3">
        <f t="shared" si="19"/>
        <v>691794.14770995325</v>
      </c>
      <c r="CD13" s="3">
        <f t="shared" si="19"/>
        <v>698712.0891870528</v>
      </c>
      <c r="CE13" s="3">
        <f t="shared" si="19"/>
        <v>705699.21007892338</v>
      </c>
      <c r="CF13" s="3">
        <f t="shared" si="19"/>
        <v>712756.20217971259</v>
      </c>
      <c r="CG13" s="3">
        <f t="shared" si="19"/>
        <v>719883.76420150977</v>
      </c>
      <c r="CH13" s="3">
        <f t="shared" ref="CH13:DM13" si="20">CG13*(1+$X$16)</f>
        <v>727082.60184352484</v>
      </c>
      <c r="CI13" s="3">
        <f t="shared" si="20"/>
        <v>734353.42786196014</v>
      </c>
      <c r="CJ13" s="3">
        <f t="shared" si="20"/>
        <v>741696.96214057971</v>
      </c>
      <c r="CK13" s="3">
        <f t="shared" si="20"/>
        <v>749113.93176198553</v>
      </c>
      <c r="CL13" s="3">
        <f t="shared" si="20"/>
        <v>756605.07107960538</v>
      </c>
      <c r="CM13" s="3">
        <f t="shared" si="20"/>
        <v>764171.1217904014</v>
      </c>
      <c r="CN13" s="3">
        <f t="shared" si="20"/>
        <v>771812.8330083054</v>
      </c>
      <c r="CO13" s="3">
        <f t="shared" si="20"/>
        <v>779530.9613383885</v>
      </c>
      <c r="CP13" s="3">
        <f t="shared" si="20"/>
        <v>787326.27095177234</v>
      </c>
      <c r="CQ13" s="3">
        <f t="shared" si="20"/>
        <v>795199.53366129007</v>
      </c>
      <c r="CR13" s="3">
        <f t="shared" si="20"/>
        <v>803151.52899790299</v>
      </c>
      <c r="CS13" s="3">
        <f t="shared" si="20"/>
        <v>811183.04428788205</v>
      </c>
      <c r="CT13" s="3">
        <f t="shared" si="20"/>
        <v>819294.87473076093</v>
      </c>
      <c r="CU13" s="3">
        <f t="shared" si="20"/>
        <v>827487.82347806857</v>
      </c>
      <c r="CV13" s="3">
        <f t="shared" si="20"/>
        <v>835762.70171284932</v>
      </c>
      <c r="CW13" s="3">
        <f t="shared" si="20"/>
        <v>844120.32872997783</v>
      </c>
      <c r="CX13" s="3">
        <f t="shared" si="20"/>
        <v>852561.53201727767</v>
      </c>
      <c r="CY13" s="3">
        <f t="shared" si="20"/>
        <v>861087.14733745041</v>
      </c>
      <c r="CZ13" s="3">
        <f t="shared" si="20"/>
        <v>869698.01881082496</v>
      </c>
      <c r="DA13" s="3">
        <f t="shared" si="20"/>
        <v>878394.99899893324</v>
      </c>
      <c r="DB13" s="3">
        <f t="shared" si="20"/>
        <v>887178.94898892252</v>
      </c>
      <c r="DC13" s="3">
        <f t="shared" si="20"/>
        <v>896050.73847881181</v>
      </c>
      <c r="DD13" s="3">
        <f t="shared" si="20"/>
        <v>905011.24586359994</v>
      </c>
      <c r="DE13" s="3">
        <f t="shared" si="20"/>
        <v>914061.35832223599</v>
      </c>
      <c r="DF13" s="3">
        <f t="shared" si="20"/>
        <v>923201.97190545837</v>
      </c>
      <c r="DG13" s="3">
        <f t="shared" si="20"/>
        <v>932433.99162451294</v>
      </c>
      <c r="DH13" s="3">
        <f t="shared" si="20"/>
        <v>941758.33154075802</v>
      </c>
      <c r="DI13" s="3">
        <f t="shared" si="20"/>
        <v>951175.91485616565</v>
      </c>
      <c r="DJ13" s="3">
        <f t="shared" si="20"/>
        <v>960687.67400472728</v>
      </c>
      <c r="DK13" s="3">
        <f t="shared" si="20"/>
        <v>970294.55074477452</v>
      </c>
      <c r="DL13" s="3">
        <f t="shared" si="20"/>
        <v>979997.49625222222</v>
      </c>
      <c r="DM13" s="3">
        <f t="shared" si="20"/>
        <v>989797.4712147445</v>
      </c>
      <c r="DN13" s="3">
        <f t="shared" ref="DN13:EL13" si="21">DM13*(1+$X$16)</f>
        <v>999695.44592689199</v>
      </c>
      <c r="DO13" s="3">
        <f t="shared" si="21"/>
        <v>1009692.4003861609</v>
      </c>
      <c r="DP13" s="3">
        <f t="shared" si="21"/>
        <v>1019789.3243900225</v>
      </c>
      <c r="DQ13" s="3">
        <f t="shared" si="21"/>
        <v>1029987.2176339228</v>
      </c>
      <c r="DR13" s="3">
        <f t="shared" si="21"/>
        <v>1040287.0898102621</v>
      </c>
      <c r="DS13" s="3">
        <f t="shared" si="21"/>
        <v>1050689.9607083646</v>
      </c>
      <c r="DT13" s="3">
        <f t="shared" si="21"/>
        <v>1061196.8603154484</v>
      </c>
      <c r="DU13" s="3">
        <f t="shared" si="21"/>
        <v>1071808.8289186028</v>
      </c>
      <c r="DV13" s="3">
        <f t="shared" si="21"/>
        <v>1082526.9172077889</v>
      </c>
      <c r="DW13" s="3">
        <f t="shared" si="21"/>
        <v>1093352.1863798669</v>
      </c>
      <c r="DX13" s="3">
        <f t="shared" si="21"/>
        <v>1104285.7082436655</v>
      </c>
      <c r="DY13" s="3">
        <f t="shared" si="21"/>
        <v>1115328.5653261021</v>
      </c>
      <c r="DZ13" s="3">
        <f t="shared" si="21"/>
        <v>1126481.8509793631</v>
      </c>
      <c r="EA13" s="3">
        <f t="shared" si="21"/>
        <v>1137746.6694891567</v>
      </c>
      <c r="EB13" s="3">
        <f t="shared" si="21"/>
        <v>1149124.1361840484</v>
      </c>
      <c r="EC13" s="3">
        <f t="shared" si="21"/>
        <v>1160615.3775458888</v>
      </c>
      <c r="ED13" s="3">
        <f t="shared" si="21"/>
        <v>1172221.5313213477</v>
      </c>
      <c r="EE13" s="3">
        <f t="shared" si="21"/>
        <v>1183943.7466345611</v>
      </c>
      <c r="EF13" s="3">
        <f t="shared" si="21"/>
        <v>1195783.1841009068</v>
      </c>
      <c r="EG13" s="3">
        <f t="shared" si="21"/>
        <v>1207741.0159419158</v>
      </c>
      <c r="EH13" s="3">
        <f t="shared" si="21"/>
        <v>1219818.4261013349</v>
      </c>
      <c r="EI13" s="3">
        <f t="shared" si="21"/>
        <v>1232016.6103623481</v>
      </c>
      <c r="EJ13" s="3">
        <f t="shared" si="21"/>
        <v>1244336.7764659717</v>
      </c>
      <c r="EK13" s="3">
        <f t="shared" si="21"/>
        <v>1256780.1442306314</v>
      </c>
      <c r="EL13" s="3">
        <f t="shared" si="21"/>
        <v>1269347.9456729377</v>
      </c>
    </row>
    <row r="14" spans="1:142" x14ac:dyDescent="0.25">
      <c r="A14" s="2" t="s">
        <v>2</v>
      </c>
      <c r="N14" s="2">
        <v>25070</v>
      </c>
      <c r="O14" s="2">
        <v>24940</v>
      </c>
      <c r="P14" s="2">
        <v>24400</v>
      </c>
      <c r="Q14" s="2">
        <v>24400</v>
      </c>
      <c r="R14" s="2">
        <v>24400</v>
      </c>
      <c r="S14" s="2">
        <v>24400</v>
      </c>
      <c r="T14" s="2">
        <v>24400</v>
      </c>
      <c r="U14" s="2">
        <v>24400</v>
      </c>
    </row>
    <row r="15" spans="1:142" x14ac:dyDescent="0.25">
      <c r="A15" s="2" t="s">
        <v>20</v>
      </c>
      <c r="N15" s="8">
        <f>N13/N14</f>
        <v>0.22820103709613082</v>
      </c>
      <c r="O15" s="8">
        <f>O13/O14</f>
        <v>1.1932638331996792</v>
      </c>
      <c r="P15" s="8">
        <f>P13/P14</f>
        <v>2.9868852459016395</v>
      </c>
      <c r="Q15" s="8">
        <f t="shared" ref="Q15:U15" si="22">Q13/Q14</f>
        <v>4.4850131225409839</v>
      </c>
      <c r="R15" s="8">
        <f t="shared" si="22"/>
        <v>6.1098853245502882</v>
      </c>
      <c r="S15" s="8">
        <f t="shared" si="22"/>
        <v>8.3851994910897787</v>
      </c>
      <c r="T15" s="8">
        <f t="shared" si="22"/>
        <v>11.458818124986253</v>
      </c>
      <c r="U15" s="8">
        <f t="shared" si="22"/>
        <v>15.60646815225137</v>
      </c>
      <c r="W15" s="2" t="s">
        <v>36</v>
      </c>
      <c r="X15" s="5">
        <v>0.06</v>
      </c>
    </row>
    <row r="16" spans="1:142" x14ac:dyDescent="0.25">
      <c r="N16" s="5"/>
      <c r="O16" s="5"/>
      <c r="P16" s="5"/>
      <c r="Q16" s="5"/>
      <c r="R16" s="5"/>
      <c r="S16" s="5"/>
      <c r="T16" s="5"/>
      <c r="U16" s="5"/>
      <c r="W16" s="2" t="s">
        <v>35</v>
      </c>
      <c r="X16" s="6">
        <v>0.01</v>
      </c>
    </row>
    <row r="17" spans="1:124" s="3" customFormat="1" x14ac:dyDescent="0.25">
      <c r="A17" s="3" t="s">
        <v>21</v>
      </c>
      <c r="L17" s="7" t="e">
        <f>L2/K2-1</f>
        <v>#DIV/0!</v>
      </c>
      <c r="M17" s="7" t="e">
        <f>M2/L2-1</f>
        <v>#DIV/0!</v>
      </c>
      <c r="N17" s="7" t="e">
        <f>N2/M2-1</f>
        <v>#DIV/0!</v>
      </c>
      <c r="O17" s="7">
        <f>O2/N2-1</f>
        <v>1.2585452658115224</v>
      </c>
      <c r="P17" s="7">
        <f t="shared" ref="P17:U17" si="23">P2/O2-1</f>
        <v>1.1420340763599355</v>
      </c>
      <c r="Q17" s="7">
        <f t="shared" si="23"/>
        <v>0.55000000000000004</v>
      </c>
      <c r="R17" s="7">
        <f t="shared" si="23"/>
        <v>0.33000000000000007</v>
      </c>
      <c r="S17" s="7">
        <f t="shared" si="23"/>
        <v>0.33000000000000007</v>
      </c>
      <c r="T17" s="7">
        <f t="shared" si="23"/>
        <v>0.33000000000000007</v>
      </c>
      <c r="U17" s="7">
        <f t="shared" si="23"/>
        <v>0.33000000000000007</v>
      </c>
      <c r="W17" s="2" t="s">
        <v>37</v>
      </c>
      <c r="X17" s="6">
        <v>0.09</v>
      </c>
    </row>
    <row r="18" spans="1:124" x14ac:dyDescent="0.25">
      <c r="A18" s="2" t="s">
        <v>22</v>
      </c>
      <c r="F18" s="5">
        <f>F2/E2-1</f>
        <v>9.4147582697200916E-2</v>
      </c>
      <c r="G18" s="5">
        <f t="shared" ref="G18:I18" si="24">G2/F2-1</f>
        <v>9.000000000000008E-2</v>
      </c>
      <c r="H18" s="5">
        <f t="shared" si="24"/>
        <v>9.000000000000008E-2</v>
      </c>
      <c r="I18" s="5">
        <f t="shared" si="24"/>
        <v>9.000000000000008E-2</v>
      </c>
      <c r="W18" s="2" t="s">
        <v>34</v>
      </c>
      <c r="X18" s="2">
        <f>NPV(X17,Q26:XFD26)+Sheet1!D5-Sheet1!D6</f>
        <v>2985393.5450466475</v>
      </c>
    </row>
    <row r="19" spans="1:124" x14ac:dyDescent="0.25">
      <c r="A19" s="2" t="s">
        <v>39</v>
      </c>
      <c r="L19" s="5" t="e">
        <f>L12/L11</f>
        <v>#DIV/0!</v>
      </c>
      <c r="M19" s="5" t="e">
        <f t="shared" ref="M19:P19" si="25">M12/M11</f>
        <v>#DIV/0!</v>
      </c>
      <c r="N19" s="5">
        <f t="shared" si="25"/>
        <v>-3.379110950487893E-2</v>
      </c>
      <c r="O19" s="5">
        <f t="shared" si="25"/>
        <v>0.1199952687917677</v>
      </c>
      <c r="P19" s="5">
        <f t="shared" si="25"/>
        <v>0.13264941803727417</v>
      </c>
      <c r="Q19" s="5">
        <v>0.19</v>
      </c>
      <c r="R19" s="5">
        <v>0.19</v>
      </c>
      <c r="S19" s="5">
        <v>0.19</v>
      </c>
      <c r="T19" s="5">
        <v>0.19</v>
      </c>
      <c r="U19" s="5">
        <v>0.19</v>
      </c>
      <c r="W19" s="2" t="s">
        <v>1</v>
      </c>
      <c r="X19" s="2">
        <f>X18/Sheet1!D3</f>
        <v>122.3521944691249</v>
      </c>
    </row>
    <row r="20" spans="1:124" x14ac:dyDescent="0.25">
      <c r="W20" s="2" t="s">
        <v>38</v>
      </c>
      <c r="X20" s="5">
        <f>X19/Sheet1!D2-1</f>
        <v>0.16525899494404661</v>
      </c>
    </row>
    <row r="21" spans="1:124" s="3" customFormat="1" x14ac:dyDescent="0.25">
      <c r="A21" s="3" t="s">
        <v>23</v>
      </c>
      <c r="L21" s="7" t="e">
        <f>L4/L2</f>
        <v>#DIV/0!</v>
      </c>
      <c r="M21" s="7" t="e">
        <f>M4/M2</f>
        <v>#DIV/0!</v>
      </c>
      <c r="N21" s="7">
        <f>N4/N2</f>
        <v>0.56928894490991322</v>
      </c>
      <c r="O21" s="7">
        <f t="shared" ref="O21:P21" si="26">O4/O2</f>
        <v>0.72717573290436954</v>
      </c>
      <c r="P21" s="7">
        <f t="shared" si="26"/>
        <v>0.74988697058169917</v>
      </c>
      <c r="Q21" s="7">
        <f>P21*1.01</f>
        <v>0.75738584028751621</v>
      </c>
      <c r="R21" s="7">
        <f t="shared" ref="R21:U21" si="27">Q21*1.01</f>
        <v>0.76495969869039138</v>
      </c>
      <c r="S21" s="7">
        <f t="shared" si="27"/>
        <v>0.7726092956772953</v>
      </c>
      <c r="T21" s="7">
        <f t="shared" si="27"/>
        <v>0.78033538863406826</v>
      </c>
      <c r="U21" s="7">
        <f t="shared" si="27"/>
        <v>0.78813874252040894</v>
      </c>
    </row>
    <row r="22" spans="1:124" s="3" customFormat="1" x14ac:dyDescent="0.25">
      <c r="A22" s="3" t="s">
        <v>45</v>
      </c>
      <c r="L22" s="7"/>
      <c r="M22" s="7"/>
      <c r="N22" s="7">
        <f>N8/N2</f>
        <v>0.20675465262845702</v>
      </c>
      <c r="O22" s="7">
        <f t="shared" ref="O22:U22" si="28">O8/O2</f>
        <v>0.54121663766783756</v>
      </c>
      <c r="P22" s="7">
        <f t="shared" si="28"/>
        <v>0.62417526839697468</v>
      </c>
      <c r="Q22" s="7">
        <f t="shared" si="28"/>
        <v>0.65367612702504363</v>
      </c>
      <c r="R22" s="7">
        <f t="shared" si="28"/>
        <v>0.67294423522775337</v>
      </c>
      <c r="S22" s="7">
        <f t="shared" si="28"/>
        <v>0.69715023987112923</v>
      </c>
      <c r="T22" s="7">
        <f t="shared" si="28"/>
        <v>0.71843403198395528</v>
      </c>
      <c r="U22" s="7">
        <f t="shared" si="28"/>
        <v>0.73734349129938093</v>
      </c>
    </row>
    <row r="24" spans="1:124" x14ac:dyDescent="0.25">
      <c r="A24" s="2" t="s">
        <v>24</v>
      </c>
      <c r="N24" s="2">
        <v>5641</v>
      </c>
      <c r="O24" s="2">
        <v>28090</v>
      </c>
      <c r="P24" s="2">
        <v>64089</v>
      </c>
      <c r="Q24" s="2">
        <f>Q13*1</f>
        <v>109434.32019000001</v>
      </c>
      <c r="R24" s="2">
        <f t="shared" ref="R24:U24" si="29">R13*1</f>
        <v>149081.20191902702</v>
      </c>
      <c r="S24" s="2">
        <f t="shared" si="29"/>
        <v>204598.86758259058</v>
      </c>
      <c r="T24" s="2">
        <f t="shared" si="29"/>
        <v>279595.1622496646</v>
      </c>
      <c r="U24" s="2">
        <f t="shared" si="29"/>
        <v>380797.82291493344</v>
      </c>
    </row>
    <row r="25" spans="1:124" x14ac:dyDescent="0.25">
      <c r="A25" s="2" t="s">
        <v>25</v>
      </c>
      <c r="N25" s="2">
        <v>-7375</v>
      </c>
      <c r="O25" s="2">
        <v>10566</v>
      </c>
      <c r="P25" s="2">
        <v>20421</v>
      </c>
      <c r="Q25" s="2">
        <f>Q24*(1-Q27)</f>
        <v>33378.312888621324</v>
      </c>
      <c r="R25" s="2">
        <f t="shared" ref="R25:U25" si="30">R24*(1-R27)</f>
        <v>43398.712356290285</v>
      </c>
      <c r="S25" s="2">
        <f t="shared" si="30"/>
        <v>56659.571697514002</v>
      </c>
      <c r="T25" s="2">
        <f t="shared" si="30"/>
        <v>73384.960974821835</v>
      </c>
      <c r="U25" s="2">
        <f t="shared" si="30"/>
        <v>94330.478565978585</v>
      </c>
    </row>
    <row r="26" spans="1:124" s="3" customFormat="1" x14ac:dyDescent="0.25">
      <c r="A26" s="3" t="s">
        <v>26</v>
      </c>
      <c r="N26" s="3">
        <f>N24-N25</f>
        <v>13016</v>
      </c>
      <c r="O26" s="3">
        <f t="shared" ref="O26:P26" si="31">O24-O25</f>
        <v>17524</v>
      </c>
      <c r="P26" s="3">
        <f t="shared" si="31"/>
        <v>43668</v>
      </c>
      <c r="Q26" s="3">
        <f t="shared" ref="Q26" si="32">Q24-Q25</f>
        <v>76056.00730137869</v>
      </c>
      <c r="R26" s="3">
        <f t="shared" ref="R26" si="33">R24-R25</f>
        <v>105682.48956273674</v>
      </c>
      <c r="S26" s="3">
        <f t="shared" ref="S26" si="34">S24-S25</f>
        <v>147939.29588507657</v>
      </c>
      <c r="T26" s="3">
        <f t="shared" ref="T26" si="35">T24-T25</f>
        <v>206210.20127484278</v>
      </c>
      <c r="U26" s="3">
        <f t="shared" ref="U26" si="36">U24-U25</f>
        <v>286467.34434895485</v>
      </c>
      <c r="V26" s="3">
        <f>U26*(1+$X$16)</f>
        <v>289332.01779244439</v>
      </c>
      <c r="W26" s="3">
        <f t="shared" ref="W26:CH26" si="37">V26*(1+$X$16)</f>
        <v>292225.33797036886</v>
      </c>
      <c r="X26" s="3">
        <f t="shared" si="37"/>
        <v>295147.59135007253</v>
      </c>
      <c r="Y26" s="3">
        <f t="shared" si="37"/>
        <v>298099.06726357323</v>
      </c>
      <c r="Z26" s="3">
        <f t="shared" si="37"/>
        <v>301080.05793620896</v>
      </c>
      <c r="AA26" s="3">
        <f t="shared" si="37"/>
        <v>304090.85851557105</v>
      </c>
      <c r="AB26" s="3">
        <f t="shared" si="37"/>
        <v>307131.76710072678</v>
      </c>
      <c r="AC26" s="3">
        <f t="shared" si="37"/>
        <v>310203.08477173402</v>
      </c>
      <c r="AD26" s="3">
        <f t="shared" si="37"/>
        <v>313305.11561945139</v>
      </c>
      <c r="AE26" s="3">
        <f t="shared" si="37"/>
        <v>316438.16677564592</v>
      </c>
      <c r="AF26" s="3">
        <f t="shared" si="37"/>
        <v>319602.5484434024</v>
      </c>
      <c r="AG26" s="3">
        <f t="shared" si="37"/>
        <v>322798.57392783643</v>
      </c>
      <c r="AH26" s="3">
        <f t="shared" si="37"/>
        <v>326026.55966711481</v>
      </c>
      <c r="AI26" s="3">
        <f t="shared" si="37"/>
        <v>329286.82526378596</v>
      </c>
      <c r="AJ26" s="3">
        <f t="shared" si="37"/>
        <v>332579.69351642381</v>
      </c>
      <c r="AK26" s="3">
        <f t="shared" si="37"/>
        <v>335905.49045158806</v>
      </c>
      <c r="AL26" s="3">
        <f t="shared" si="37"/>
        <v>339264.54535610392</v>
      </c>
      <c r="AM26" s="3">
        <f t="shared" si="37"/>
        <v>342657.19080966496</v>
      </c>
      <c r="AN26" s="3">
        <f t="shared" si="37"/>
        <v>346083.76271776162</v>
      </c>
      <c r="AO26" s="3">
        <f t="shared" si="37"/>
        <v>349544.60034493922</v>
      </c>
      <c r="AP26" s="3">
        <f t="shared" si="37"/>
        <v>353040.0463483886</v>
      </c>
      <c r="AQ26" s="3">
        <f t="shared" si="37"/>
        <v>356570.44681187248</v>
      </c>
      <c r="AR26" s="3">
        <f t="shared" si="37"/>
        <v>360136.1512799912</v>
      </c>
      <c r="AS26" s="3">
        <f t="shared" si="37"/>
        <v>363737.51279279112</v>
      </c>
      <c r="AT26" s="3">
        <f t="shared" si="37"/>
        <v>367374.88792071905</v>
      </c>
      <c r="AU26" s="3">
        <f t="shared" si="37"/>
        <v>371048.63679992623</v>
      </c>
      <c r="AV26" s="3">
        <f t="shared" si="37"/>
        <v>374759.12316792551</v>
      </c>
      <c r="AW26" s="3">
        <f t="shared" si="37"/>
        <v>378506.71439960477</v>
      </c>
      <c r="AX26" s="3">
        <f t="shared" si="37"/>
        <v>382291.78154360084</v>
      </c>
      <c r="AY26" s="3">
        <f t="shared" si="37"/>
        <v>386114.69935903687</v>
      </c>
      <c r="AZ26" s="3">
        <f t="shared" si="37"/>
        <v>389975.84635262721</v>
      </c>
      <c r="BA26" s="3">
        <f t="shared" si="37"/>
        <v>393875.60481615347</v>
      </c>
      <c r="BB26" s="3">
        <f t="shared" si="37"/>
        <v>397814.36086431501</v>
      </c>
      <c r="BC26" s="3">
        <f t="shared" si="37"/>
        <v>401792.50447295816</v>
      </c>
      <c r="BD26" s="3">
        <f t="shared" si="37"/>
        <v>405810.42951768776</v>
      </c>
      <c r="BE26" s="3">
        <f t="shared" si="37"/>
        <v>409868.53381286463</v>
      </c>
      <c r="BF26" s="3">
        <f t="shared" si="37"/>
        <v>413967.21915099327</v>
      </c>
      <c r="BG26" s="3">
        <f t="shared" si="37"/>
        <v>418106.89134250319</v>
      </c>
      <c r="BH26" s="3">
        <f t="shared" si="37"/>
        <v>422287.96025592822</v>
      </c>
      <c r="BI26" s="3">
        <f t="shared" si="37"/>
        <v>426510.83985848748</v>
      </c>
      <c r="BJ26" s="3">
        <f t="shared" si="37"/>
        <v>430775.94825707236</v>
      </c>
      <c r="BK26" s="3">
        <f t="shared" si="37"/>
        <v>435083.70773964311</v>
      </c>
      <c r="BL26" s="3">
        <f t="shared" si="37"/>
        <v>439434.54481703957</v>
      </c>
      <c r="BM26" s="3">
        <f t="shared" si="37"/>
        <v>443828.89026520995</v>
      </c>
      <c r="BN26" s="3">
        <f t="shared" si="37"/>
        <v>448267.17916786205</v>
      </c>
      <c r="BO26" s="3">
        <f t="shared" si="37"/>
        <v>452749.85095954069</v>
      </c>
      <c r="BP26" s="3">
        <f t="shared" si="37"/>
        <v>457277.3494691361</v>
      </c>
      <c r="BQ26" s="3">
        <f t="shared" si="37"/>
        <v>461850.12296382745</v>
      </c>
      <c r="BR26" s="3">
        <f t="shared" si="37"/>
        <v>466468.62419346574</v>
      </c>
      <c r="BS26" s="3">
        <f t="shared" si="37"/>
        <v>471133.3104354004</v>
      </c>
      <c r="BT26" s="3">
        <f t="shared" si="37"/>
        <v>475844.64353975438</v>
      </c>
      <c r="BU26" s="3">
        <f t="shared" si="37"/>
        <v>480603.08997515193</v>
      </c>
      <c r="BV26" s="3">
        <f t="shared" si="37"/>
        <v>485409.12087490346</v>
      </c>
      <c r="BW26" s="3">
        <f t="shared" si="37"/>
        <v>490263.2120836525</v>
      </c>
      <c r="BX26" s="3">
        <f t="shared" si="37"/>
        <v>495165.84420448903</v>
      </c>
      <c r="BY26" s="3">
        <f t="shared" si="37"/>
        <v>500117.50264653395</v>
      </c>
      <c r="BZ26" s="3">
        <f t="shared" si="37"/>
        <v>505118.67767299927</v>
      </c>
      <c r="CA26" s="3">
        <f t="shared" si="37"/>
        <v>510169.86444972927</v>
      </c>
      <c r="CB26" s="3">
        <f t="shared" si="37"/>
        <v>515271.56309422659</v>
      </c>
      <c r="CC26" s="3">
        <f t="shared" si="37"/>
        <v>520424.27872516884</v>
      </c>
      <c r="CD26" s="3">
        <f t="shared" si="37"/>
        <v>525628.5215124205</v>
      </c>
      <c r="CE26" s="3">
        <f t="shared" si="37"/>
        <v>530884.80672754475</v>
      </c>
      <c r="CF26" s="3">
        <f t="shared" si="37"/>
        <v>536193.65479482024</v>
      </c>
      <c r="CG26" s="3">
        <f t="shared" si="37"/>
        <v>541555.5913427684</v>
      </c>
      <c r="CH26" s="3">
        <f t="shared" si="37"/>
        <v>546971.14725619613</v>
      </c>
      <c r="CI26" s="3">
        <f t="shared" ref="CI26:DT26" si="38">CH26*(1+$X$16)</f>
        <v>552440.85872875806</v>
      </c>
      <c r="CJ26" s="3">
        <f t="shared" si="38"/>
        <v>557965.26731604559</v>
      </c>
      <c r="CK26" s="3">
        <f t="shared" si="38"/>
        <v>563544.91998920601</v>
      </c>
      <c r="CL26" s="3">
        <f t="shared" si="38"/>
        <v>569180.36918909813</v>
      </c>
      <c r="CM26" s="3">
        <f t="shared" si="38"/>
        <v>574872.17288098915</v>
      </c>
      <c r="CN26" s="3">
        <f t="shared" si="38"/>
        <v>580620.89460979903</v>
      </c>
      <c r="CO26" s="3">
        <f t="shared" si="38"/>
        <v>586427.10355589702</v>
      </c>
      <c r="CP26" s="3">
        <f t="shared" si="38"/>
        <v>592291.37459145603</v>
      </c>
      <c r="CQ26" s="3">
        <f t="shared" si="38"/>
        <v>598214.28833737061</v>
      </c>
      <c r="CR26" s="3">
        <f t="shared" si="38"/>
        <v>604196.43122074427</v>
      </c>
      <c r="CS26" s="3">
        <f t="shared" si="38"/>
        <v>610238.39553295169</v>
      </c>
      <c r="CT26" s="3">
        <f t="shared" si="38"/>
        <v>616340.77948828123</v>
      </c>
      <c r="CU26" s="3">
        <f t="shared" si="38"/>
        <v>622504.18728316401</v>
      </c>
      <c r="CV26" s="3">
        <f t="shared" si="38"/>
        <v>628729.22915599565</v>
      </c>
      <c r="CW26" s="3">
        <f t="shared" si="38"/>
        <v>635016.52144755563</v>
      </c>
      <c r="CX26" s="3">
        <f t="shared" si="38"/>
        <v>641366.68666203122</v>
      </c>
      <c r="CY26" s="3">
        <f t="shared" si="38"/>
        <v>647780.35352865153</v>
      </c>
      <c r="CZ26" s="3">
        <f t="shared" si="38"/>
        <v>654258.1570639381</v>
      </c>
      <c r="DA26" s="3">
        <f t="shared" si="38"/>
        <v>660800.73863457749</v>
      </c>
      <c r="DB26" s="3">
        <f t="shared" si="38"/>
        <v>667408.74602092325</v>
      </c>
      <c r="DC26" s="3">
        <f t="shared" si="38"/>
        <v>674082.83348113252</v>
      </c>
      <c r="DD26" s="3">
        <f t="shared" si="38"/>
        <v>680823.66181594389</v>
      </c>
      <c r="DE26" s="3">
        <f t="shared" si="38"/>
        <v>687631.89843410335</v>
      </c>
      <c r="DF26" s="3">
        <f t="shared" si="38"/>
        <v>694508.21741844434</v>
      </c>
      <c r="DG26" s="3">
        <f t="shared" si="38"/>
        <v>701453.29959262884</v>
      </c>
      <c r="DH26" s="3">
        <f t="shared" si="38"/>
        <v>708467.83258855517</v>
      </c>
      <c r="DI26" s="3">
        <f t="shared" si="38"/>
        <v>715552.51091444073</v>
      </c>
      <c r="DJ26" s="3">
        <f t="shared" si="38"/>
        <v>722708.03602358513</v>
      </c>
      <c r="DK26" s="3">
        <f t="shared" si="38"/>
        <v>729935.11638382101</v>
      </c>
      <c r="DL26" s="3">
        <f t="shared" si="38"/>
        <v>737234.46754765918</v>
      </c>
      <c r="DM26" s="3">
        <f t="shared" si="38"/>
        <v>744606.81222313573</v>
      </c>
      <c r="DN26" s="3">
        <f t="shared" si="38"/>
        <v>752052.88034536713</v>
      </c>
      <c r="DO26" s="3">
        <f t="shared" si="38"/>
        <v>759573.40914882079</v>
      </c>
      <c r="DP26" s="3">
        <f t="shared" si="38"/>
        <v>767169.14324030897</v>
      </c>
      <c r="DQ26" s="3">
        <f t="shared" si="38"/>
        <v>774840.83467271202</v>
      </c>
      <c r="DR26" s="3">
        <f t="shared" si="38"/>
        <v>782589.24301943916</v>
      </c>
      <c r="DS26" s="3">
        <f t="shared" si="38"/>
        <v>790415.13544963358</v>
      </c>
      <c r="DT26" s="3">
        <f t="shared" si="38"/>
        <v>798319.28680412995</v>
      </c>
    </row>
    <row r="27" spans="1:124" x14ac:dyDescent="0.25">
      <c r="N27" s="5">
        <f>N26/N24</f>
        <v>2.3073923063286652</v>
      </c>
      <c r="O27" s="5">
        <f>O26/O24</f>
        <v>0.6238519045923816</v>
      </c>
      <c r="P27" s="5">
        <f>P26/P24</f>
        <v>0.68136497682909702</v>
      </c>
      <c r="Q27" s="5">
        <f>P27*1.02</f>
        <v>0.69499227636567895</v>
      </c>
      <c r="R27" s="5">
        <f t="shared" ref="R27:U27" si="39">Q27*1.02</f>
        <v>0.70889212189299255</v>
      </c>
      <c r="S27" s="5">
        <f t="shared" si="39"/>
        <v>0.72306996433085247</v>
      </c>
      <c r="T27" s="5">
        <f t="shared" si="39"/>
        <v>0.73753136361746952</v>
      </c>
      <c r="U27" s="5">
        <f t="shared" si="39"/>
        <v>0.75228199088981895</v>
      </c>
    </row>
    <row r="28" spans="1:124" x14ac:dyDescent="0.25">
      <c r="N28" s="5"/>
      <c r="O28" s="5"/>
      <c r="P28" s="5"/>
      <c r="Q28" s="5"/>
      <c r="R28" s="5"/>
      <c r="S28" s="5"/>
      <c r="T28" s="5"/>
      <c r="U28" s="5"/>
    </row>
    <row r="29" spans="1:124" x14ac:dyDescent="0.25">
      <c r="A29" s="2" t="s">
        <v>31</v>
      </c>
      <c r="P29" s="2">
        <f>P33-P37</f>
        <v>30502</v>
      </c>
      <c r="Q29" s="2">
        <f>P29+Q9</f>
        <v>32332.12</v>
      </c>
      <c r="R29" s="2">
        <f t="shared" ref="R29:U29" si="40">Q29+R9</f>
        <v>34272.047200000001</v>
      </c>
      <c r="S29" s="2">
        <f t="shared" si="40"/>
        <v>36328.370031999999</v>
      </c>
      <c r="T29" s="2">
        <f t="shared" si="40"/>
        <v>38508.07223392</v>
      </c>
      <c r="U29" s="2">
        <f t="shared" si="40"/>
        <v>40818.556567955202</v>
      </c>
    </row>
    <row r="30" spans="1:124" x14ac:dyDescent="0.25">
      <c r="Q30" s="5"/>
      <c r="R30" s="5"/>
      <c r="S30" s="5"/>
      <c r="T30" s="5"/>
      <c r="U30" s="5"/>
    </row>
    <row r="31" spans="1:124" x14ac:dyDescent="0.25">
      <c r="A31" s="2" t="s">
        <v>40</v>
      </c>
      <c r="L31" s="2">
        <f>L13</f>
        <v>0</v>
      </c>
      <c r="M31" s="2">
        <f t="shared" ref="M31:U31" si="41">M13</f>
        <v>0</v>
      </c>
      <c r="N31" s="2">
        <f t="shared" si="41"/>
        <v>5721</v>
      </c>
      <c r="O31" s="2">
        <f t="shared" si="41"/>
        <v>29760</v>
      </c>
      <c r="P31" s="2">
        <f t="shared" si="41"/>
        <v>72880</v>
      </c>
      <c r="Q31" s="2">
        <f t="shared" si="41"/>
        <v>109434.32019000001</v>
      </c>
      <c r="R31" s="2">
        <f t="shared" si="41"/>
        <v>149081.20191902702</v>
      </c>
      <c r="S31" s="2">
        <f t="shared" si="41"/>
        <v>204598.86758259058</v>
      </c>
      <c r="T31" s="2">
        <f t="shared" si="41"/>
        <v>279595.1622496646</v>
      </c>
      <c r="U31" s="2">
        <f t="shared" si="41"/>
        <v>380797.82291493344</v>
      </c>
    </row>
    <row r="32" spans="1:124" x14ac:dyDescent="0.25">
      <c r="A32" s="2" t="s">
        <v>41</v>
      </c>
      <c r="N32" s="2">
        <v>4368</v>
      </c>
      <c r="O32" s="2">
        <v>29760</v>
      </c>
      <c r="P32" s="2">
        <v>72880</v>
      </c>
    </row>
    <row r="33" spans="1:16" x14ac:dyDescent="0.25">
      <c r="A33" s="2" t="s">
        <v>4</v>
      </c>
      <c r="P33" s="2">
        <f>8589+34621</f>
        <v>43210</v>
      </c>
    </row>
    <row r="34" spans="1:16" x14ac:dyDescent="0.25">
      <c r="A34" s="2" t="s">
        <v>32</v>
      </c>
    </row>
    <row r="36" spans="1:16" x14ac:dyDescent="0.25">
      <c r="A36" s="2" t="s">
        <v>33</v>
      </c>
    </row>
    <row r="37" spans="1:16" x14ac:dyDescent="0.25">
      <c r="A37" s="2" t="s">
        <v>5</v>
      </c>
      <c r="P37" s="2">
        <f>8463+4245</f>
        <v>12708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Render Flores</dc:creator>
  <cp:lastModifiedBy>Liam Render Flores</cp:lastModifiedBy>
  <dcterms:created xsi:type="dcterms:W3CDTF">2025-04-07T17:41:16Z</dcterms:created>
  <dcterms:modified xsi:type="dcterms:W3CDTF">2025-04-16T00:34:44Z</dcterms:modified>
</cp:coreProperties>
</file>