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C4B35152-28E3-48F1-92AF-650AAB5A76A6}" xr6:coauthVersionLast="47" xr6:coauthVersionMax="47" xr10:uidLastSave="{00000000-0000-0000-0000-000000000000}"/>
  <bookViews>
    <workbookView xWindow="6060" yWindow="1545" windowWidth="20745" windowHeight="13995" xr2:uid="{5D9A434D-E4E6-481F-B630-FF215E7C1E0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G27" i="2" s="1"/>
  <c r="H27" i="2" s="1"/>
  <c r="I27" i="2" s="1"/>
  <c r="E6" i="2"/>
  <c r="F6" i="2" s="1"/>
  <c r="G6" i="2" s="1"/>
  <c r="H6" i="2" s="1"/>
  <c r="I6" i="2" s="1"/>
  <c r="F30" i="2"/>
  <c r="G30" i="2"/>
  <c r="H30" i="2"/>
  <c r="I30" i="2"/>
  <c r="E30" i="2"/>
  <c r="F35" i="2"/>
  <c r="G35" i="2" s="1"/>
  <c r="H35" i="2" s="1"/>
  <c r="I35" i="2" s="1"/>
  <c r="C33" i="2"/>
  <c r="D33" i="2"/>
  <c r="B33" i="2"/>
  <c r="E7" i="1"/>
  <c r="D39" i="2"/>
  <c r="D37" i="2" s="1"/>
  <c r="E17" i="2" s="1"/>
  <c r="D24" i="2"/>
  <c r="C24" i="2"/>
  <c r="C15" i="2"/>
  <c r="D15" i="2"/>
  <c r="B15" i="2"/>
  <c r="C10" i="2"/>
  <c r="D10" i="2"/>
  <c r="B10" i="2"/>
  <c r="C6" i="2"/>
  <c r="D6" i="2"/>
  <c r="B6" i="2"/>
  <c r="B11" i="2" s="1"/>
  <c r="C1" i="2"/>
  <c r="D1" i="2" s="1"/>
  <c r="E1" i="2" s="1"/>
  <c r="F1" i="2" s="1"/>
  <c r="G1" i="2" s="1"/>
  <c r="H1" i="2" s="1"/>
  <c r="I1" i="2" s="1"/>
  <c r="D7" i="1"/>
  <c r="D5" i="1"/>
  <c r="D4" i="1"/>
  <c r="B16" i="2" l="1"/>
  <c r="D11" i="2"/>
  <c r="D27" i="2" s="1"/>
  <c r="C11" i="2"/>
  <c r="C34" i="2"/>
  <c r="B34" i="2"/>
  <c r="D34" i="2"/>
  <c r="C30" i="2"/>
  <c r="B30" i="2"/>
  <c r="D30" i="2"/>
  <c r="B27" i="2"/>
  <c r="D16" i="2"/>
  <c r="B18" i="2" l="1"/>
  <c r="B28" i="2"/>
  <c r="C16" i="2"/>
  <c r="C27" i="2"/>
  <c r="D28" i="2"/>
  <c r="D18" i="2"/>
  <c r="E24" i="2"/>
  <c r="E15" i="2" s="1"/>
  <c r="E31" i="2"/>
  <c r="E32" i="2" s="1"/>
  <c r="E33" i="2" s="1"/>
  <c r="E10" i="2"/>
  <c r="E11" i="2" s="1"/>
  <c r="E16" i="2" s="1"/>
  <c r="E34" i="2" l="1"/>
  <c r="B20" i="2"/>
  <c r="B22" i="2" s="1"/>
  <c r="B25" i="2"/>
  <c r="C18" i="2"/>
  <c r="C28" i="2"/>
  <c r="E18" i="2"/>
  <c r="E28" i="2"/>
  <c r="F31" i="2"/>
  <c r="F32" i="2" s="1"/>
  <c r="F33" i="2" s="1"/>
  <c r="F34" i="2" s="1"/>
  <c r="F10" i="2"/>
  <c r="F11" i="2" s="1"/>
  <c r="F24" i="2"/>
  <c r="F15" i="2" s="1"/>
  <c r="D20" i="2"/>
  <c r="D22" i="2" s="1"/>
  <c r="D25" i="2"/>
  <c r="C20" i="2" l="1"/>
  <c r="C22" i="2" s="1"/>
  <c r="C25" i="2"/>
  <c r="F16" i="2"/>
  <c r="G10" i="2"/>
  <c r="G31" i="2"/>
  <c r="G32" i="2" s="1"/>
  <c r="G33" i="2" s="1"/>
  <c r="G34" i="2" s="1"/>
  <c r="G24" i="2"/>
  <c r="G15" i="2" s="1"/>
  <c r="G11" i="2"/>
  <c r="E19" i="2"/>
  <c r="E20" i="2" s="1"/>
  <c r="E37" i="2" l="1"/>
  <c r="E22" i="2"/>
  <c r="D8" i="1" s="1"/>
  <c r="G16" i="2"/>
  <c r="G28" i="2" s="1"/>
  <c r="H10" i="2"/>
  <c r="H11" i="2" s="1"/>
  <c r="H31" i="2"/>
  <c r="H32" i="2" s="1"/>
  <c r="H33" i="2" s="1"/>
  <c r="H34" i="2" s="1"/>
  <c r="H24" i="2"/>
  <c r="H15" i="2" s="1"/>
  <c r="F28" i="2"/>
  <c r="I10" i="2" l="1"/>
  <c r="I31" i="2"/>
  <c r="I32" i="2" s="1"/>
  <c r="I33" i="2" s="1"/>
  <c r="I11" i="2"/>
  <c r="I24" i="2"/>
  <c r="I15" i="2" s="1"/>
  <c r="H16" i="2"/>
  <c r="H28" i="2" s="1"/>
  <c r="F17" i="2"/>
  <c r="F18" i="2" s="1"/>
  <c r="F19" i="2" s="1"/>
  <c r="F20" i="2" s="1"/>
  <c r="F22" i="2" s="1"/>
  <c r="I34" i="2" l="1"/>
  <c r="J33" i="2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F37" i="2"/>
  <c r="G17" i="2"/>
  <c r="G18" i="2" s="1"/>
  <c r="G19" i="2" s="1"/>
  <c r="G20" i="2" s="1"/>
  <c r="G22" i="2" s="1"/>
  <c r="I16" i="2"/>
  <c r="I28" i="2" s="1"/>
  <c r="G37" i="2" l="1"/>
  <c r="H17" i="2" s="1"/>
  <c r="H18" i="2" s="1"/>
  <c r="H19" i="2" s="1"/>
  <c r="H20" i="2" s="1"/>
  <c r="H22" i="2" s="1"/>
  <c r="L16" i="2"/>
  <c r="H37" i="2"/>
  <c r="I17" i="2" s="1"/>
  <c r="I18" i="2" s="1"/>
  <c r="I19" i="2" s="1"/>
  <c r="I20" i="2" s="1"/>
  <c r="I22" i="2" l="1"/>
  <c r="L17" i="2"/>
  <c r="L18" i="2" s="1"/>
  <c r="I37" i="2"/>
</calcChain>
</file>

<file path=xl/sharedStrings.xml><?xml version="1.0" encoding="utf-8"?>
<sst xmlns="http://schemas.openxmlformats.org/spreadsheetml/2006/main" count="45" uniqueCount="41">
  <si>
    <t>ORCL</t>
  </si>
  <si>
    <t>Price</t>
  </si>
  <si>
    <t>Shares</t>
  </si>
  <si>
    <t>MC</t>
  </si>
  <si>
    <t>Cash</t>
  </si>
  <si>
    <t>Debt</t>
  </si>
  <si>
    <t>EV</t>
  </si>
  <si>
    <t>Cloud Services</t>
  </si>
  <si>
    <t>Cloud License</t>
  </si>
  <si>
    <t>Hardware</t>
  </si>
  <si>
    <t>Services</t>
  </si>
  <si>
    <t>Revenue</t>
  </si>
  <si>
    <t>COGS</t>
  </si>
  <si>
    <t>Services COGS</t>
  </si>
  <si>
    <t>Hardware COGS</t>
  </si>
  <si>
    <t>Cloud Services COGS</t>
  </si>
  <si>
    <t>S&amp;M</t>
  </si>
  <si>
    <t>R&amp;D</t>
  </si>
  <si>
    <t>Gross Profit</t>
  </si>
  <si>
    <t>G&amp;A</t>
  </si>
  <si>
    <t>OPEX</t>
  </si>
  <si>
    <t>Operating Income</t>
  </si>
  <si>
    <t>Interest</t>
  </si>
  <si>
    <t>Pretax Income</t>
  </si>
  <si>
    <t>Tax</t>
  </si>
  <si>
    <t>Net Income</t>
  </si>
  <si>
    <t>EPS</t>
  </si>
  <si>
    <t xml:space="preserve">Revenue Growth </t>
  </si>
  <si>
    <t>Tax Rate</t>
  </si>
  <si>
    <t>Gross Margin</t>
  </si>
  <si>
    <t>Operating Margin</t>
  </si>
  <si>
    <t>CFFO</t>
  </si>
  <si>
    <t>CX</t>
  </si>
  <si>
    <t>FCF</t>
  </si>
  <si>
    <t>Net Cash</t>
  </si>
  <si>
    <t>PE</t>
  </si>
  <si>
    <t>NPV</t>
  </si>
  <si>
    <t>Maturity</t>
  </si>
  <si>
    <t>Discount</t>
  </si>
  <si>
    <t>ROIC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</si>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</sst>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9" fontId="1" fillId="0" borderId="0" xfId="0" applyNumberFormat="1" applyFont="1"/>
    <xf numFmtId="3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47625</xdr:rowOff>
    </xdr:from>
    <xdr:to>
      <xdr:col>4</xdr:col>
      <xdr:colOff>28575</xdr:colOff>
      <xdr:row>41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2CF7884-FA0E-BDCE-0EEF-9EF66C5D9BF3}"/>
            </a:ext>
          </a:extLst>
        </xdr:cNvPr>
        <xdr:cNvCxnSpPr/>
      </xdr:nvCxnSpPr>
      <xdr:spPr>
        <a:xfrm>
          <a:off x="3057525" y="47625"/>
          <a:ext cx="47625" cy="73628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C872-FB29-47C6-A311-C860325B0B19}">
  <dimension ref="A1:E8"/>
  <sheetViews>
    <sheetView tabSelected="1" zoomScale="250" zoomScaleNormal="250" workbookViewId="0">
      <selection activeCell="D3" sqref="D3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C2" t="s">
        <v>1</v>
      </c>
      <c r="D2" s="2">
        <v>130</v>
      </c>
    </row>
    <row r="3" spans="1:5" x14ac:dyDescent="0.25">
      <c r="C3" t="s">
        <v>2</v>
      </c>
      <c r="D3" s="2">
        <v>2804.2339999999999</v>
      </c>
    </row>
    <row r="4" spans="1:5" x14ac:dyDescent="0.25">
      <c r="C4" t="s">
        <v>3</v>
      </c>
      <c r="D4" s="2">
        <f>D3*D2</f>
        <v>364550.42</v>
      </c>
    </row>
    <row r="5" spans="1:5" x14ac:dyDescent="0.25">
      <c r="C5" t="s">
        <v>4</v>
      </c>
      <c r="D5" s="2">
        <f>17406+417</f>
        <v>17823</v>
      </c>
    </row>
    <row r="6" spans="1:5" x14ac:dyDescent="0.25">
      <c r="C6" t="s">
        <v>5</v>
      </c>
      <c r="D6" s="2">
        <v>114494</v>
      </c>
    </row>
    <row r="7" spans="1:5" x14ac:dyDescent="0.25">
      <c r="C7" t="s">
        <v>6</v>
      </c>
      <c r="D7" s="2">
        <f>D4+D6-D5</f>
        <v>461221.42</v>
      </c>
      <c r="E7">
        <f>D7/D3</f>
        <v>164.47322869632134</v>
      </c>
    </row>
    <row r="8" spans="1:5" x14ac:dyDescent="0.25">
      <c r="C8" t="s">
        <v>35</v>
      </c>
      <c r="D8">
        <f>E7/Sheet2!E22</f>
        <v>27.602086236466601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A9F4-2AF1-472B-8827-371B927576BB}">
  <dimension ref="A1:CT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7" sqref="G17"/>
    </sheetView>
  </sheetViews>
  <sheetFormatPr defaultRowHeight="15" x14ac:dyDescent="0.25"/>
  <cols>
    <col min="1" max="1" width="18.7109375" style="2" customWidth="1"/>
    <col min="2" max="16384" width="9.140625" style="2"/>
  </cols>
  <sheetData>
    <row r="1" spans="1:12" x14ac:dyDescent="0.25">
      <c r="B1" s="5">
        <v>2022</v>
      </c>
      <c r="C1" s="5">
        <f>B1+1</f>
        <v>2023</v>
      </c>
      <c r="D1" s="5">
        <f t="shared" ref="D1:I1" si="0">C1+1</f>
        <v>2024</v>
      </c>
      <c r="E1" s="5">
        <f t="shared" si="0"/>
        <v>2025</v>
      </c>
      <c r="F1" s="5">
        <f t="shared" si="0"/>
        <v>2026</v>
      </c>
      <c r="G1" s="5">
        <f t="shared" si="0"/>
        <v>2027</v>
      </c>
      <c r="H1" s="5">
        <f t="shared" si="0"/>
        <v>2028</v>
      </c>
      <c r="I1" s="5">
        <f t="shared" si="0"/>
        <v>2029</v>
      </c>
    </row>
    <row r="2" spans="1:12" x14ac:dyDescent="0.25">
      <c r="A2" s="2" t="s">
        <v>7</v>
      </c>
      <c r="B2" s="2">
        <v>30174</v>
      </c>
      <c r="C2" s="2">
        <v>35307</v>
      </c>
      <c r="D2" s="2">
        <v>39383</v>
      </c>
    </row>
    <row r="3" spans="1:12" x14ac:dyDescent="0.25">
      <c r="A3" s="2" t="s">
        <v>8</v>
      </c>
      <c r="B3" s="2">
        <v>5878</v>
      </c>
      <c r="C3" s="2">
        <v>5779</v>
      </c>
      <c r="D3" s="2">
        <v>5081</v>
      </c>
    </row>
    <row r="4" spans="1:12" x14ac:dyDescent="0.25">
      <c r="A4" s="2" t="s">
        <v>9</v>
      </c>
      <c r="B4" s="2">
        <v>3183</v>
      </c>
      <c r="C4" s="2">
        <v>3274</v>
      </c>
      <c r="D4" s="2">
        <v>3066</v>
      </c>
    </row>
    <row r="5" spans="1:12" x14ac:dyDescent="0.25">
      <c r="A5" s="2" t="s">
        <v>10</v>
      </c>
      <c r="B5" s="2">
        <v>3205</v>
      </c>
      <c r="C5" s="2">
        <v>5594</v>
      </c>
      <c r="D5" s="2">
        <v>5431</v>
      </c>
    </row>
    <row r="6" spans="1:12" s="4" customFormat="1" x14ac:dyDescent="0.25">
      <c r="A6" s="4" t="s">
        <v>11</v>
      </c>
      <c r="B6" s="4">
        <f>SUM(B2:B5)</f>
        <v>42440</v>
      </c>
      <c r="C6" s="4">
        <f t="shared" ref="C6:D6" si="1">SUM(C2:C5)</f>
        <v>49954</v>
      </c>
      <c r="D6" s="4">
        <f t="shared" si="1"/>
        <v>52961</v>
      </c>
      <c r="E6" s="4">
        <f>D6*1.15</f>
        <v>60905.149999999994</v>
      </c>
      <c r="F6" s="4">
        <f t="shared" ref="F6:I6" si="2">E6*1.15</f>
        <v>70040.922499999986</v>
      </c>
      <c r="G6" s="4">
        <f t="shared" si="2"/>
        <v>80547.060874999981</v>
      </c>
      <c r="H6" s="4">
        <f t="shared" si="2"/>
        <v>92629.12000624997</v>
      </c>
      <c r="I6" s="4">
        <f t="shared" si="2"/>
        <v>106523.48800718745</v>
      </c>
    </row>
    <row r="7" spans="1:12" x14ac:dyDescent="0.25">
      <c r="A7" s="2" t="s">
        <v>15</v>
      </c>
      <c r="B7" s="2">
        <v>5213</v>
      </c>
      <c r="C7" s="2">
        <v>7763</v>
      </c>
      <c r="D7" s="2">
        <v>9427</v>
      </c>
    </row>
    <row r="8" spans="1:12" x14ac:dyDescent="0.25">
      <c r="A8" s="2" t="s">
        <v>14</v>
      </c>
      <c r="B8" s="2">
        <v>972</v>
      </c>
      <c r="C8" s="2">
        <v>1040</v>
      </c>
      <c r="D8" s="2">
        <v>891</v>
      </c>
    </row>
    <row r="9" spans="1:12" x14ac:dyDescent="0.25">
      <c r="A9" s="2" t="s">
        <v>13</v>
      </c>
      <c r="B9" s="2">
        <v>2692</v>
      </c>
      <c r="C9" s="2">
        <v>4761</v>
      </c>
      <c r="D9" s="2">
        <v>4825</v>
      </c>
    </row>
    <row r="10" spans="1:12" x14ac:dyDescent="0.25">
      <c r="A10" s="2" t="s">
        <v>12</v>
      </c>
      <c r="B10" s="2">
        <f>SUM(B7:B9)</f>
        <v>8877</v>
      </c>
      <c r="C10" s="2">
        <f t="shared" ref="C10:D10" si="3">SUM(C7:C9)</f>
        <v>13564</v>
      </c>
      <c r="D10" s="2">
        <f t="shared" si="3"/>
        <v>15143</v>
      </c>
      <c r="E10" s="2">
        <f>E6*(1-E27)</f>
        <v>12790.081499999997</v>
      </c>
      <c r="F10" s="2">
        <f t="shared" ref="F10:I10" si="4">F6*(1-F27)</f>
        <v>14155.270437249994</v>
      </c>
      <c r="G10" s="2">
        <f t="shared" si="4"/>
        <v>15635.876004115871</v>
      </c>
      <c r="H10" s="2">
        <f t="shared" si="4"/>
        <v>17234.778778718082</v>
      </c>
      <c r="I10" s="2">
        <f t="shared" si="4"/>
        <v>18952.960671409179</v>
      </c>
    </row>
    <row r="11" spans="1:12" x14ac:dyDescent="0.25">
      <c r="A11" s="2" t="s">
        <v>18</v>
      </c>
      <c r="B11" s="2">
        <f>B6-B10</f>
        <v>33563</v>
      </c>
      <c r="C11" s="2">
        <f t="shared" ref="C11:D11" si="5">C6-C10</f>
        <v>36390</v>
      </c>
      <c r="D11" s="2">
        <f t="shared" si="5"/>
        <v>37818</v>
      </c>
      <c r="E11" s="2">
        <f t="shared" ref="E11" si="6">E6-E10</f>
        <v>48115.068499999994</v>
      </c>
      <c r="F11" s="2">
        <f t="shared" ref="F11" si="7">F6-F10</f>
        <v>55885.652062749992</v>
      </c>
      <c r="G11" s="2">
        <f t="shared" ref="G11" si="8">G6-G10</f>
        <v>64911.184870884113</v>
      </c>
      <c r="H11" s="2">
        <f t="shared" ref="H11" si="9">H6-H10</f>
        <v>75394.341227531884</v>
      </c>
      <c r="I11" s="2">
        <f t="shared" ref="I11" si="10">I6-I10</f>
        <v>87570.527335778272</v>
      </c>
    </row>
    <row r="12" spans="1:12" x14ac:dyDescent="0.25">
      <c r="A12" s="2" t="s">
        <v>16</v>
      </c>
      <c r="B12" s="2">
        <v>8047</v>
      </c>
      <c r="C12" s="2">
        <v>8833</v>
      </c>
      <c r="D12" s="2">
        <v>8274</v>
      </c>
    </row>
    <row r="13" spans="1:12" x14ac:dyDescent="0.25">
      <c r="A13" s="2" t="s">
        <v>17</v>
      </c>
      <c r="B13" s="2">
        <v>7219</v>
      </c>
      <c r="C13" s="2">
        <v>8623</v>
      </c>
      <c r="D13" s="2">
        <v>8915</v>
      </c>
      <c r="K13" s="2" t="s">
        <v>39</v>
      </c>
      <c r="L13" s="6">
        <v>0.06</v>
      </c>
    </row>
    <row r="14" spans="1:12" x14ac:dyDescent="0.25">
      <c r="A14" s="2" t="s">
        <v>19</v>
      </c>
      <c r="B14" s="2">
        <v>1317</v>
      </c>
      <c r="C14" s="2">
        <v>1579</v>
      </c>
      <c r="D14" s="2">
        <v>1548</v>
      </c>
      <c r="K14" s="2" t="s">
        <v>37</v>
      </c>
      <c r="L14" s="6">
        <v>0.01</v>
      </c>
    </row>
    <row r="15" spans="1:12" x14ac:dyDescent="0.25">
      <c r="A15" s="2" t="s">
        <v>20</v>
      </c>
      <c r="B15" s="2">
        <f>SUM(B12:B14)</f>
        <v>16583</v>
      </c>
      <c r="C15" s="2">
        <f t="shared" ref="C15:D15" si="11">SUM(C12:C14)</f>
        <v>19035</v>
      </c>
      <c r="D15" s="2">
        <f t="shared" si="11"/>
        <v>18737</v>
      </c>
      <c r="E15" s="2">
        <f>D15*(1+E24)</f>
        <v>21547.55</v>
      </c>
      <c r="F15" s="2">
        <f t="shared" ref="F15:I15" si="12">E15*(1+F24)</f>
        <v>24779.682499999999</v>
      </c>
      <c r="G15" s="2">
        <f t="shared" si="12"/>
        <v>28496.634874999996</v>
      </c>
      <c r="H15" s="2">
        <f t="shared" si="12"/>
        <v>32771.130106249992</v>
      </c>
      <c r="I15" s="2">
        <f t="shared" si="12"/>
        <v>37686.799622187486</v>
      </c>
      <c r="K15" s="2" t="s">
        <v>38</v>
      </c>
      <c r="L15" s="6">
        <v>0.08</v>
      </c>
    </row>
    <row r="16" spans="1:12" x14ac:dyDescent="0.25">
      <c r="A16" s="2" t="s">
        <v>21</v>
      </c>
      <c r="B16" s="2">
        <f>B11-B15</f>
        <v>16980</v>
      </c>
      <c r="C16" s="2">
        <f t="shared" ref="C16:I16" si="13">C11-C15</f>
        <v>17355</v>
      </c>
      <c r="D16" s="2">
        <f t="shared" si="13"/>
        <v>19081</v>
      </c>
      <c r="E16" s="2">
        <f t="shared" si="13"/>
        <v>26567.518499999995</v>
      </c>
      <c r="F16" s="2">
        <f t="shared" si="13"/>
        <v>31105.969562749993</v>
      </c>
      <c r="G16" s="2">
        <f t="shared" si="13"/>
        <v>36414.549995884117</v>
      </c>
      <c r="H16" s="2">
        <f t="shared" si="13"/>
        <v>42623.211121281893</v>
      </c>
      <c r="I16" s="2">
        <f t="shared" si="13"/>
        <v>49883.727713590786</v>
      </c>
      <c r="K16" s="2" t="s">
        <v>36</v>
      </c>
      <c r="L16" s="2">
        <f>NPV(L15,E33:XFD33)</f>
        <v>512261.86622491351</v>
      </c>
    </row>
    <row r="17" spans="1:12" x14ac:dyDescent="0.25">
      <c r="A17" s="2" t="s">
        <v>22</v>
      </c>
      <c r="B17" s="2">
        <v>-2755</v>
      </c>
      <c r="C17" s="2">
        <v>-3505</v>
      </c>
      <c r="D17" s="2">
        <v>-3514</v>
      </c>
      <c r="E17" s="2">
        <f>D37*$L$13</f>
        <v>-5800.26</v>
      </c>
      <c r="F17" s="2">
        <f t="shared" ref="F17:I17" si="14">E37*$L$13</f>
        <v>-4790.9712368999999</v>
      </c>
      <c r="G17" s="2">
        <f t="shared" si="14"/>
        <v>-3512.0623182636905</v>
      </c>
      <c r="H17" s="2">
        <f t="shared" si="14"/>
        <v>-1913.0014171313378</v>
      </c>
      <c r="I17" s="2">
        <f t="shared" si="14"/>
        <v>65.514774490379054</v>
      </c>
      <c r="K17" s="2" t="s">
        <v>1</v>
      </c>
      <c r="L17" s="2">
        <f>L16/Sheet1!D3</f>
        <v>182.67443666431316</v>
      </c>
    </row>
    <row r="18" spans="1:12" x14ac:dyDescent="0.25">
      <c r="A18" s="2" t="s">
        <v>23</v>
      </c>
      <c r="B18" s="2">
        <f>B16+B17</f>
        <v>14225</v>
      </c>
      <c r="C18" s="2">
        <f t="shared" ref="C18:I18" si="15">C16+C17</f>
        <v>13850</v>
      </c>
      <c r="D18" s="2">
        <f t="shared" si="15"/>
        <v>15567</v>
      </c>
      <c r="E18" s="2">
        <f t="shared" si="15"/>
        <v>20767.258499999996</v>
      </c>
      <c r="F18" s="2">
        <f t="shared" si="15"/>
        <v>26314.998325849992</v>
      </c>
      <c r="G18" s="2">
        <f t="shared" si="15"/>
        <v>32902.487677620426</v>
      </c>
      <c r="H18" s="2">
        <f t="shared" si="15"/>
        <v>40710.209704150555</v>
      </c>
      <c r="I18" s="2">
        <f t="shared" si="15"/>
        <v>49949.242488081167</v>
      </c>
      <c r="K18" s="2" t="s">
        <v>40</v>
      </c>
      <c r="L18" s="6">
        <f>L17/Sheet1!D2-1</f>
        <v>0.40518797434087039</v>
      </c>
    </row>
    <row r="19" spans="1:12" x14ac:dyDescent="0.25">
      <c r="A19" s="2" t="s">
        <v>24</v>
      </c>
      <c r="B19" s="2">
        <v>932</v>
      </c>
      <c r="C19" s="2">
        <v>623</v>
      </c>
      <c r="D19" s="2">
        <v>1274</v>
      </c>
      <c r="E19" s="2">
        <f>E18*E25</f>
        <v>3945.7791149999994</v>
      </c>
      <c r="F19" s="2">
        <f t="shared" ref="F19:I19" si="16">F18*F25</f>
        <v>4999.8496819114989</v>
      </c>
      <c r="G19" s="2">
        <f t="shared" si="16"/>
        <v>6251.4726587478808</v>
      </c>
      <c r="H19" s="2">
        <f t="shared" si="16"/>
        <v>7734.9398437886057</v>
      </c>
      <c r="I19" s="2">
        <f t="shared" si="16"/>
        <v>9490.3560727354215</v>
      </c>
    </row>
    <row r="20" spans="1:12" s="4" customFormat="1" x14ac:dyDescent="0.25">
      <c r="A20" s="4" t="s">
        <v>25</v>
      </c>
      <c r="B20" s="4">
        <f>B18-B19</f>
        <v>13293</v>
      </c>
      <c r="C20" s="4">
        <f t="shared" ref="C20:I20" si="17">C18-C19</f>
        <v>13227</v>
      </c>
      <c r="D20" s="4">
        <f t="shared" si="17"/>
        <v>14293</v>
      </c>
      <c r="E20" s="4">
        <f t="shared" si="17"/>
        <v>16821.479384999999</v>
      </c>
      <c r="F20" s="4">
        <f t="shared" si="17"/>
        <v>21315.148643938493</v>
      </c>
      <c r="G20" s="4">
        <f t="shared" si="17"/>
        <v>26651.015018872546</v>
      </c>
      <c r="H20" s="4">
        <f t="shared" si="17"/>
        <v>32975.26986036195</v>
      </c>
      <c r="I20" s="4">
        <f t="shared" si="17"/>
        <v>40458.886415345747</v>
      </c>
    </row>
    <row r="21" spans="1:12" x14ac:dyDescent="0.25">
      <c r="A21" s="2" t="s">
        <v>2</v>
      </c>
      <c r="B21" s="2">
        <v>2786</v>
      </c>
      <c r="C21" s="2">
        <v>2766</v>
      </c>
      <c r="D21" s="2">
        <v>2823</v>
      </c>
      <c r="E21" s="2">
        <v>2823</v>
      </c>
      <c r="F21" s="2">
        <v>2823</v>
      </c>
      <c r="G21" s="2">
        <v>2823</v>
      </c>
      <c r="H21" s="2">
        <v>2823</v>
      </c>
      <c r="I21" s="2">
        <v>2823</v>
      </c>
    </row>
    <row r="22" spans="1:12" x14ac:dyDescent="0.25">
      <c r="A22" s="2" t="s">
        <v>26</v>
      </c>
      <c r="B22" s="7">
        <f>B20/B21</f>
        <v>4.7713567839195976</v>
      </c>
      <c r="C22" s="7">
        <f t="shared" ref="C22:I22" si="18">C20/C21</f>
        <v>4.7819956616052064</v>
      </c>
      <c r="D22" s="7">
        <f t="shared" si="18"/>
        <v>5.0630534891958909</v>
      </c>
      <c r="E22" s="7">
        <f t="shared" si="18"/>
        <v>5.9587245430393194</v>
      </c>
      <c r="F22" s="7">
        <f t="shared" si="18"/>
        <v>7.5505308692662041</v>
      </c>
      <c r="G22" s="7">
        <f t="shared" si="18"/>
        <v>9.440671278382057</v>
      </c>
      <c r="H22" s="7">
        <f t="shared" si="18"/>
        <v>11.680931583550107</v>
      </c>
      <c r="I22" s="7">
        <f t="shared" si="18"/>
        <v>14.331876165549327</v>
      </c>
    </row>
    <row r="24" spans="1:12" s="4" customFormat="1" x14ac:dyDescent="0.25">
      <c r="A24" s="4" t="s">
        <v>27</v>
      </c>
      <c r="C24" s="3">
        <f>C6/B6-1</f>
        <v>0.17704995287464653</v>
      </c>
      <c r="D24" s="3">
        <f>D6/C6-1</f>
        <v>6.0195379749369504E-2</v>
      </c>
      <c r="E24" s="3">
        <f t="shared" ref="E24:I24" si="19">E6/D6-1</f>
        <v>0.14999999999999991</v>
      </c>
      <c r="F24" s="3">
        <f t="shared" si="19"/>
        <v>0.14999999999999991</v>
      </c>
      <c r="G24" s="3">
        <f t="shared" si="19"/>
        <v>0.14999999999999991</v>
      </c>
      <c r="H24" s="3">
        <f t="shared" si="19"/>
        <v>0.14999999999999991</v>
      </c>
      <c r="I24" s="3">
        <f t="shared" si="19"/>
        <v>0.14999999999999991</v>
      </c>
    </row>
    <row r="25" spans="1:12" x14ac:dyDescent="0.25">
      <c r="A25" s="2" t="s">
        <v>28</v>
      </c>
      <c r="B25" s="6">
        <f>B19/B18</f>
        <v>6.5518453427065027E-2</v>
      </c>
      <c r="C25" s="6">
        <f t="shared" ref="C25:D25" si="20">C19/C18</f>
        <v>4.4981949458483751E-2</v>
      </c>
      <c r="D25" s="6">
        <f t="shared" si="20"/>
        <v>8.1839789297873708E-2</v>
      </c>
      <c r="E25" s="6">
        <v>0.19</v>
      </c>
      <c r="F25" s="6">
        <v>0.19</v>
      </c>
      <c r="G25" s="6">
        <v>0.19</v>
      </c>
      <c r="H25" s="6">
        <v>0.19</v>
      </c>
      <c r="I25" s="6">
        <v>0.19</v>
      </c>
    </row>
    <row r="27" spans="1:12" s="4" customFormat="1" x14ac:dyDescent="0.25">
      <c r="A27" s="4" t="s">
        <v>29</v>
      </c>
      <c r="B27" s="3">
        <f>B11/B6</f>
        <v>0.79083411875589071</v>
      </c>
      <c r="C27" s="3">
        <f t="shared" ref="C27:D27" si="21">C11/C6</f>
        <v>0.72847019257717105</v>
      </c>
      <c r="D27" s="3">
        <f t="shared" si="21"/>
        <v>0.71407261947470779</v>
      </c>
      <c r="E27" s="3">
        <v>0.79</v>
      </c>
      <c r="F27" s="3">
        <f>E27*1.01</f>
        <v>0.79790000000000005</v>
      </c>
      <c r="G27" s="3">
        <f t="shared" ref="G27:I27" si="22">F27*1.01</f>
        <v>0.80587900000000001</v>
      </c>
      <c r="H27" s="3">
        <f t="shared" si="22"/>
        <v>0.81393778999999999</v>
      </c>
      <c r="I27" s="3">
        <f t="shared" si="22"/>
        <v>0.82207716789999996</v>
      </c>
    </row>
    <row r="28" spans="1:12" x14ac:dyDescent="0.25">
      <c r="A28" s="2" t="s">
        <v>30</v>
      </c>
      <c r="B28" s="6">
        <f>B16/B6</f>
        <v>0.40009425070688032</v>
      </c>
      <c r="C28" s="6">
        <f t="shared" ref="C28:I28" si="23">C16/C6</f>
        <v>0.34741962605597149</v>
      </c>
      <c r="D28" s="6">
        <f t="shared" si="23"/>
        <v>0.36028398255319954</v>
      </c>
      <c r="E28" s="6">
        <f t="shared" si="23"/>
        <v>0.43621136307849168</v>
      </c>
      <c r="F28" s="6">
        <f t="shared" si="23"/>
        <v>0.44411136307849169</v>
      </c>
      <c r="G28" s="6">
        <f t="shared" si="23"/>
        <v>0.45209036307849171</v>
      </c>
      <c r="H28" s="6">
        <f t="shared" si="23"/>
        <v>0.46014915307849169</v>
      </c>
      <c r="I28" s="6">
        <f t="shared" si="23"/>
        <v>0.46828853097849166</v>
      </c>
    </row>
    <row r="29" spans="1:12" x14ac:dyDescent="0.25">
      <c r="B29" s="6"/>
      <c r="C29" s="6"/>
      <c r="D29" s="6"/>
      <c r="E29" s="6"/>
      <c r="F29" s="6"/>
      <c r="G29" s="6"/>
      <c r="H29" s="6"/>
      <c r="I29" s="6"/>
    </row>
    <row r="30" spans="1:12" x14ac:dyDescent="0.25">
      <c r="B30" s="6">
        <f>B31/B6</f>
        <v>0.22476437323279924</v>
      </c>
      <c r="C30" s="6">
        <f>C31/C6</f>
        <v>0.34361612683668974</v>
      </c>
      <c r="D30" s="6">
        <f>D31/D6</f>
        <v>0.35258020052491457</v>
      </c>
      <c r="E30" s="6">
        <f>D30*1.07</f>
        <v>0.37726081456165861</v>
      </c>
      <c r="F30" s="6">
        <f t="shared" ref="F30:I30" si="24">E30*1.07</f>
        <v>0.40366907158097476</v>
      </c>
      <c r="G30" s="6">
        <f t="shared" si="24"/>
        <v>0.43192590659164304</v>
      </c>
      <c r="H30" s="6">
        <f t="shared" si="24"/>
        <v>0.46216072005305808</v>
      </c>
      <c r="I30" s="6">
        <f t="shared" si="24"/>
        <v>0.4945119704567722</v>
      </c>
    </row>
    <row r="31" spans="1:12" x14ac:dyDescent="0.25">
      <c r="A31" s="2" t="s">
        <v>31</v>
      </c>
      <c r="B31" s="2">
        <v>9539</v>
      </c>
      <c r="C31" s="2">
        <v>17165</v>
      </c>
      <c r="D31" s="2">
        <v>18673</v>
      </c>
      <c r="E31" s="2">
        <f>E30*E6</f>
        <v>22977.126499999998</v>
      </c>
      <c r="F31" s="2">
        <f t="shared" ref="F31:I31" si="25">F30*F6</f>
        <v>28273.35415825</v>
      </c>
      <c r="G31" s="2">
        <f t="shared" si="25"/>
        <v>34790.362291726626</v>
      </c>
      <c r="H31" s="2">
        <f t="shared" si="25"/>
        <v>42809.540799969611</v>
      </c>
      <c r="I31" s="2">
        <f t="shared" si="25"/>
        <v>52677.13995436261</v>
      </c>
    </row>
    <row r="32" spans="1:12" x14ac:dyDescent="0.25">
      <c r="A32" s="2" t="s">
        <v>32</v>
      </c>
      <c r="B32" s="2">
        <v>4511</v>
      </c>
      <c r="C32" s="2">
        <v>8695</v>
      </c>
      <c r="D32" s="2">
        <v>6866</v>
      </c>
      <c r="E32" s="2">
        <f>E35*E31</f>
        <v>7352.68048</v>
      </c>
      <c r="F32" s="2">
        <f>F35*F31</f>
        <v>8142.7259975760007</v>
      </c>
      <c r="G32" s="2">
        <f>G35*G31</f>
        <v>9017.6619060155426</v>
      </c>
      <c r="H32" s="2">
        <f>H35*H31</f>
        <v>9986.6096778169122</v>
      </c>
      <c r="I32" s="2">
        <f>I35*I31</f>
        <v>11059.670887698341</v>
      </c>
    </row>
    <row r="33" spans="1:98" s="4" customFormat="1" x14ac:dyDescent="0.25">
      <c r="A33" s="4" t="s">
        <v>33</v>
      </c>
      <c r="B33" s="4">
        <f>B31-B32</f>
        <v>5028</v>
      </c>
      <c r="C33" s="4">
        <f t="shared" ref="C33:D33" si="26">C31-C32</f>
        <v>8470</v>
      </c>
      <c r="D33" s="4">
        <f t="shared" si="26"/>
        <v>11807</v>
      </c>
      <c r="E33" s="4">
        <f t="shared" ref="E33" si="27">E31-E32</f>
        <v>15624.446019999999</v>
      </c>
      <c r="F33" s="4">
        <f t="shared" ref="F33" si="28">F31-F32</f>
        <v>20130.628160674001</v>
      </c>
      <c r="G33" s="4">
        <f t="shared" ref="G33" si="29">G31-G32</f>
        <v>25772.700385711083</v>
      </c>
      <c r="H33" s="4">
        <f t="shared" ref="H33" si="30">H31-H32</f>
        <v>32822.931122152702</v>
      </c>
      <c r="I33" s="4">
        <f t="shared" ref="I33" si="31">I31-I32</f>
        <v>41617.469066664271</v>
      </c>
      <c r="J33" s="4">
        <f>I33*(1+$L$14)</f>
        <v>42033.643757330916</v>
      </c>
      <c r="K33" s="4">
        <f t="shared" ref="K33:BV33" si="32">J33*(1+$L$14)</f>
        <v>42453.980194904223</v>
      </c>
      <c r="L33" s="4">
        <f t="shared" si="32"/>
        <v>42878.519996853269</v>
      </c>
      <c r="M33" s="4">
        <f t="shared" si="32"/>
        <v>43307.305196821799</v>
      </c>
      <c r="N33" s="4">
        <f t="shared" si="32"/>
        <v>43740.378248790017</v>
      </c>
      <c r="O33" s="4">
        <f t="shared" si="32"/>
        <v>44177.782031277915</v>
      </c>
      <c r="P33" s="4">
        <f t="shared" si="32"/>
        <v>44619.559851590697</v>
      </c>
      <c r="Q33" s="4">
        <f t="shared" si="32"/>
        <v>45065.755450106604</v>
      </c>
      <c r="R33" s="4">
        <f t="shared" si="32"/>
        <v>45516.413004607668</v>
      </c>
      <c r="S33" s="4">
        <f t="shared" si="32"/>
        <v>45971.577134653744</v>
      </c>
      <c r="T33" s="4">
        <f t="shared" si="32"/>
        <v>46431.292906000279</v>
      </c>
      <c r="U33" s="4">
        <f t="shared" si="32"/>
        <v>46895.605835060283</v>
      </c>
      <c r="V33" s="4">
        <f t="shared" si="32"/>
        <v>47364.561893410886</v>
      </c>
      <c r="W33" s="4">
        <f t="shared" si="32"/>
        <v>47838.207512344998</v>
      </c>
      <c r="X33" s="4">
        <f t="shared" si="32"/>
        <v>48316.58958746845</v>
      </c>
      <c r="Y33" s="4">
        <f t="shared" si="32"/>
        <v>48799.755483343135</v>
      </c>
      <c r="Z33" s="4">
        <f t="shared" si="32"/>
        <v>49287.753038176568</v>
      </c>
      <c r="AA33" s="4">
        <f t="shared" si="32"/>
        <v>49780.630568558336</v>
      </c>
      <c r="AB33" s="4">
        <f t="shared" si="32"/>
        <v>50278.436874243918</v>
      </c>
      <c r="AC33" s="4">
        <f t="shared" si="32"/>
        <v>50781.221242986358</v>
      </c>
      <c r="AD33" s="4">
        <f t="shared" si="32"/>
        <v>51289.033455416218</v>
      </c>
      <c r="AE33" s="4">
        <f t="shared" si="32"/>
        <v>51801.92378997038</v>
      </c>
      <c r="AF33" s="4">
        <f t="shared" si="32"/>
        <v>52319.943027870082</v>
      </c>
      <c r="AG33" s="4">
        <f t="shared" si="32"/>
        <v>52843.142458148781</v>
      </c>
      <c r="AH33" s="4">
        <f t="shared" si="32"/>
        <v>53371.57388273027</v>
      </c>
      <c r="AI33" s="4">
        <f t="shared" si="32"/>
        <v>53905.289621557575</v>
      </c>
      <c r="AJ33" s="4">
        <f t="shared" si="32"/>
        <v>54444.342517773148</v>
      </c>
      <c r="AK33" s="4">
        <f t="shared" si="32"/>
        <v>54988.785942950883</v>
      </c>
      <c r="AL33" s="4">
        <f t="shared" si="32"/>
        <v>55538.673802380392</v>
      </c>
      <c r="AM33" s="4">
        <f t="shared" si="32"/>
        <v>56094.0605404042</v>
      </c>
      <c r="AN33" s="4">
        <f t="shared" si="32"/>
        <v>56655.001145808244</v>
      </c>
      <c r="AO33" s="4">
        <f t="shared" si="32"/>
        <v>57221.551157266331</v>
      </c>
      <c r="AP33" s="4">
        <f t="shared" si="32"/>
        <v>57793.766668838995</v>
      </c>
      <c r="AQ33" s="4">
        <f t="shared" si="32"/>
        <v>58371.704335527385</v>
      </c>
      <c r="AR33" s="4">
        <f t="shared" si="32"/>
        <v>58955.42137888266</v>
      </c>
      <c r="AS33" s="4">
        <f t="shared" si="32"/>
        <v>59544.975592671486</v>
      </c>
      <c r="AT33" s="4">
        <f t="shared" si="32"/>
        <v>60140.425348598204</v>
      </c>
      <c r="AU33" s="4">
        <f t="shared" si="32"/>
        <v>60741.829602084188</v>
      </c>
      <c r="AV33" s="4">
        <f t="shared" si="32"/>
        <v>61349.24789810503</v>
      </c>
      <c r="AW33" s="4">
        <f t="shared" si="32"/>
        <v>61962.740377086084</v>
      </c>
      <c r="AX33" s="4">
        <f t="shared" si="32"/>
        <v>62582.367780856948</v>
      </c>
      <c r="AY33" s="4">
        <f t="shared" si="32"/>
        <v>63208.191458665518</v>
      </c>
      <c r="AZ33" s="4">
        <f t="shared" si="32"/>
        <v>63840.273373252174</v>
      </c>
      <c r="BA33" s="4">
        <f t="shared" si="32"/>
        <v>64478.676106984698</v>
      </c>
      <c r="BB33" s="4">
        <f t="shared" si="32"/>
        <v>65123.462868054543</v>
      </c>
      <c r="BC33" s="4">
        <f t="shared" si="32"/>
        <v>65774.697496735083</v>
      </c>
      <c r="BD33" s="4">
        <f t="shared" si="32"/>
        <v>66432.444471702431</v>
      </c>
      <c r="BE33" s="4">
        <f t="shared" si="32"/>
        <v>67096.76891641946</v>
      </c>
      <c r="BF33" s="4">
        <f t="shared" si="32"/>
        <v>67767.736605583661</v>
      </c>
      <c r="BG33" s="4">
        <f t="shared" si="32"/>
        <v>68445.4139716395</v>
      </c>
      <c r="BH33" s="4">
        <f t="shared" si="32"/>
        <v>69129.8681113559</v>
      </c>
      <c r="BI33" s="4">
        <f t="shared" si="32"/>
        <v>69821.166792469463</v>
      </c>
      <c r="BJ33" s="4">
        <f t="shared" si="32"/>
        <v>70519.37846039416</v>
      </c>
      <c r="BK33" s="4">
        <f t="shared" si="32"/>
        <v>71224.572244998097</v>
      </c>
      <c r="BL33" s="4">
        <f t="shared" si="32"/>
        <v>71936.817967448078</v>
      </c>
      <c r="BM33" s="4">
        <f t="shared" si="32"/>
        <v>72656.186147122557</v>
      </c>
      <c r="BN33" s="4">
        <f t="shared" si="32"/>
        <v>73382.748008593786</v>
      </c>
      <c r="BO33" s="4">
        <f t="shared" si="32"/>
        <v>74116.575488679722</v>
      </c>
      <c r="BP33" s="4">
        <f t="shared" si="32"/>
        <v>74857.741243566517</v>
      </c>
      <c r="BQ33" s="4">
        <f t="shared" si="32"/>
        <v>75606.318656002186</v>
      </c>
      <c r="BR33" s="4">
        <f t="shared" si="32"/>
        <v>76362.381842562201</v>
      </c>
      <c r="BS33" s="4">
        <f t="shared" si="32"/>
        <v>77126.005660987823</v>
      </c>
      <c r="BT33" s="4">
        <f t="shared" si="32"/>
        <v>77897.265717597707</v>
      </c>
      <c r="BU33" s="4">
        <f t="shared" si="32"/>
        <v>78676.238374773689</v>
      </c>
      <c r="BV33" s="4">
        <f t="shared" si="32"/>
        <v>79463.000758521433</v>
      </c>
      <c r="BW33" s="4">
        <f t="shared" ref="BW33:CT33" si="33">BV33*(1+$L$14)</f>
        <v>80257.630766106653</v>
      </c>
      <c r="BX33" s="4">
        <f t="shared" si="33"/>
        <v>81060.207073767713</v>
      </c>
      <c r="BY33" s="4">
        <f t="shared" si="33"/>
        <v>81870.809144505387</v>
      </c>
      <c r="BZ33" s="4">
        <f t="shared" si="33"/>
        <v>82689.517235950436</v>
      </c>
      <c r="CA33" s="4">
        <f t="shared" si="33"/>
        <v>83516.412408309945</v>
      </c>
      <c r="CB33" s="4">
        <f t="shared" si="33"/>
        <v>84351.576532393039</v>
      </c>
      <c r="CC33" s="4">
        <f t="shared" si="33"/>
        <v>85195.092297716968</v>
      </c>
      <c r="CD33" s="4">
        <f t="shared" si="33"/>
        <v>86047.043220694133</v>
      </c>
      <c r="CE33" s="4">
        <f t="shared" si="33"/>
        <v>86907.513652901078</v>
      </c>
      <c r="CF33" s="4">
        <f t="shared" si="33"/>
        <v>87776.588789430083</v>
      </c>
      <c r="CG33" s="4">
        <f t="shared" si="33"/>
        <v>88654.354677324387</v>
      </c>
      <c r="CH33" s="4">
        <f t="shared" si="33"/>
        <v>89540.898224097633</v>
      </c>
      <c r="CI33" s="4">
        <f t="shared" si="33"/>
        <v>90436.307206338606</v>
      </c>
      <c r="CJ33" s="4">
        <f t="shared" si="33"/>
        <v>91340.670278401987</v>
      </c>
      <c r="CK33" s="4">
        <f t="shared" si="33"/>
        <v>92254.076981186008</v>
      </c>
      <c r="CL33" s="4">
        <f t="shared" si="33"/>
        <v>93176.617750997873</v>
      </c>
      <c r="CM33" s="4">
        <f t="shared" si="33"/>
        <v>94108.383928507857</v>
      </c>
      <c r="CN33" s="4">
        <f t="shared" si="33"/>
        <v>95049.467767792943</v>
      </c>
      <c r="CO33" s="4">
        <f t="shared" si="33"/>
        <v>95999.962445470868</v>
      </c>
      <c r="CP33" s="4">
        <f t="shared" si="33"/>
        <v>96959.962069925576</v>
      </c>
      <c r="CQ33" s="4">
        <f t="shared" si="33"/>
        <v>97929.561690624832</v>
      </c>
      <c r="CR33" s="4">
        <f t="shared" si="33"/>
        <v>98908.857307531085</v>
      </c>
      <c r="CS33" s="4">
        <f t="shared" si="33"/>
        <v>99897.945880606392</v>
      </c>
      <c r="CT33" s="4">
        <f t="shared" si="33"/>
        <v>100896.92533941245</v>
      </c>
    </row>
    <row r="34" spans="1:98" x14ac:dyDescent="0.25">
      <c r="B34" s="6">
        <f>B33/B6</f>
        <v>0.11847313854853911</v>
      </c>
      <c r="C34" s="6">
        <f t="shared" ref="C34:D34" si="34">C33/C6</f>
        <v>0.16955599151219122</v>
      </c>
      <c r="D34" s="6">
        <f t="shared" si="34"/>
        <v>0.22293763335284456</v>
      </c>
      <c r="E34" s="6">
        <f t="shared" ref="E34" si="35">E33/E6</f>
        <v>0.25653735390192783</v>
      </c>
      <c r="F34" s="6">
        <f t="shared" ref="F34" si="36">F33/F6</f>
        <v>0.28741237896565403</v>
      </c>
      <c r="G34" s="6">
        <f t="shared" ref="G34" si="37">G33/G6</f>
        <v>0.31997071160308915</v>
      </c>
      <c r="H34" s="6">
        <f t="shared" ref="H34" si="38">H33/H6</f>
        <v>0.35434786727908069</v>
      </c>
      <c r="I34" s="6">
        <f t="shared" ref="I34" si="39">I33/I6</f>
        <v>0.39068819323543197</v>
      </c>
    </row>
    <row r="35" spans="1:98" x14ac:dyDescent="0.25">
      <c r="B35" s="6"/>
      <c r="C35" s="6"/>
      <c r="D35" s="6"/>
      <c r="E35" s="6">
        <v>0.32</v>
      </c>
      <c r="F35" s="6">
        <f>E35*0.9</f>
        <v>0.28800000000000003</v>
      </c>
      <c r="G35" s="6">
        <f t="shared" ref="G35:I35" si="40">F35*0.9</f>
        <v>0.25920000000000004</v>
      </c>
      <c r="H35" s="6">
        <f t="shared" si="40"/>
        <v>0.23328000000000004</v>
      </c>
      <c r="I35" s="6">
        <f t="shared" si="40"/>
        <v>0.20995200000000006</v>
      </c>
    </row>
    <row r="36" spans="1:98" x14ac:dyDescent="0.25">
      <c r="B36" s="6"/>
      <c r="C36" s="6"/>
      <c r="D36" s="6"/>
      <c r="E36" s="6"/>
      <c r="F36" s="6"/>
      <c r="G36" s="6"/>
      <c r="H36" s="6"/>
      <c r="I36" s="6"/>
    </row>
    <row r="37" spans="1:98" x14ac:dyDescent="0.25">
      <c r="A37" s="2" t="s">
        <v>34</v>
      </c>
      <c r="D37" s="2">
        <f>D39-D41</f>
        <v>-96671</v>
      </c>
      <c r="E37" s="2">
        <f>D37+E20</f>
        <v>-79849.520615000001</v>
      </c>
      <c r="F37" s="2">
        <f t="shared" ref="F37:I37" si="41">E37+F20</f>
        <v>-58534.371971061511</v>
      </c>
      <c r="G37" s="2">
        <f t="shared" si="41"/>
        <v>-31883.356952188966</v>
      </c>
      <c r="H37" s="2">
        <f t="shared" si="41"/>
        <v>1091.9129081729843</v>
      </c>
      <c r="I37" s="2">
        <f t="shared" si="41"/>
        <v>41550.799323518731</v>
      </c>
    </row>
    <row r="38" spans="1:98" x14ac:dyDescent="0.25">
      <c r="B38" s="6"/>
      <c r="C38" s="6"/>
      <c r="D38" s="6"/>
    </row>
    <row r="39" spans="1:98" x14ac:dyDescent="0.25">
      <c r="A39" s="2" t="s">
        <v>4</v>
      </c>
      <c r="D39" s="2">
        <f>17406+417</f>
        <v>17823</v>
      </c>
    </row>
    <row r="41" spans="1:98" x14ac:dyDescent="0.25">
      <c r="A41" s="2" t="s">
        <v>5</v>
      </c>
      <c r="D41" s="2">
        <v>114494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2025-04-15T21:55:38Z</dcterms:created>
  <dcterms:modified xsi:type="dcterms:W3CDTF">2025-04-17T18:06:08Z</dcterms:modified>
</cp:coreProperties>
</file>