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D97C4100-BBAD-4D3A-845C-DC8CF4E60829}" xr6:coauthVersionLast="47" xr6:coauthVersionMax="47" xr10:uidLastSave="{00000000-0000-0000-0000-000000000000}"/>
  <bookViews>
    <workbookView xWindow="6315" yWindow="1215" windowWidth="20970" windowHeight="14865" activeTab="1" xr2:uid="{48687CDE-C838-4D92-92A6-E2D215D3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O2" i="2"/>
  <c r="L2" i="2"/>
  <c r="G20" i="1"/>
  <c r="K28" i="2"/>
  <c r="J28" i="2"/>
  <c r="K15" i="2"/>
  <c r="J15" i="2"/>
  <c r="L23" i="2"/>
  <c r="M23" i="2" s="1"/>
  <c r="N23" i="2" s="1"/>
  <c r="O23" i="2" s="1"/>
  <c r="H27" i="2"/>
  <c r="I27" i="2"/>
  <c r="J27" i="2"/>
  <c r="K7" i="2"/>
  <c r="L7" i="2" s="1"/>
  <c r="M7" i="2" s="1"/>
  <c r="N7" i="2" s="1"/>
  <c r="O7" i="2" s="1"/>
  <c r="J26" i="2"/>
  <c r="K2" i="2"/>
  <c r="K19" i="2"/>
  <c r="L19" i="2" s="1"/>
  <c r="M19" i="2" s="1"/>
  <c r="N19" i="2" s="1"/>
  <c r="O19" i="2" s="1"/>
  <c r="J31" i="2"/>
  <c r="J29" i="2" s="1"/>
  <c r="K9" i="2" s="1"/>
  <c r="H17" i="2"/>
  <c r="I17" i="2"/>
  <c r="J17" i="2"/>
  <c r="I26" i="2"/>
  <c r="H26" i="2"/>
  <c r="F26" i="2"/>
  <c r="B26" i="2"/>
  <c r="C26" i="2"/>
  <c r="D26" i="2"/>
  <c r="E26" i="2"/>
  <c r="I8" i="2"/>
  <c r="J8" i="2"/>
  <c r="H8" i="2"/>
  <c r="C8" i="2"/>
  <c r="D8" i="2"/>
  <c r="E8" i="2"/>
  <c r="F8" i="2"/>
  <c r="B8" i="2"/>
  <c r="B4" i="2"/>
  <c r="B19" i="2" s="1"/>
  <c r="C4" i="2"/>
  <c r="C19" i="2" s="1"/>
  <c r="D4" i="2"/>
  <c r="D19" i="2" s="1"/>
  <c r="I4" i="2"/>
  <c r="I19" i="2" s="1"/>
  <c r="J4" i="2"/>
  <c r="J19" i="2" s="1"/>
  <c r="H4" i="2"/>
  <c r="H23" i="2" s="1"/>
  <c r="E4" i="2"/>
  <c r="G17" i="1"/>
  <c r="H20" i="2"/>
  <c r="I20" i="2"/>
  <c r="J18" i="2"/>
  <c r="I18" i="2"/>
  <c r="I1" i="2"/>
  <c r="H1" i="2" s="1"/>
  <c r="K1" i="2"/>
  <c r="L1" i="2" s="1"/>
  <c r="M1" i="2" s="1"/>
  <c r="N1" i="2" s="1"/>
  <c r="O1" i="2" s="1"/>
  <c r="G23" i="1"/>
  <c r="G24" i="1" s="1"/>
  <c r="G16" i="1"/>
  <c r="G19" i="1" s="1"/>
  <c r="J23" i="2" l="1"/>
  <c r="I23" i="2"/>
  <c r="D11" i="2"/>
  <c r="K3" i="2"/>
  <c r="K4" i="2" s="1"/>
  <c r="K24" i="2" s="1"/>
  <c r="K25" i="2" s="1"/>
  <c r="J11" i="2"/>
  <c r="E11" i="2"/>
  <c r="E13" i="2" s="1"/>
  <c r="E20" i="2" s="1"/>
  <c r="B11" i="2"/>
  <c r="B13" i="2" s="1"/>
  <c r="C11" i="2"/>
  <c r="C13" i="2" s="1"/>
  <c r="H11" i="2"/>
  <c r="H22" i="2" s="1"/>
  <c r="H19" i="2"/>
  <c r="E19" i="2"/>
  <c r="D13" i="2"/>
  <c r="I11" i="2"/>
  <c r="I22" i="2" s="1"/>
  <c r="K18" i="2"/>
  <c r="H22" i="1"/>
  <c r="H23" i="1"/>
  <c r="H24" i="1"/>
  <c r="L18" i="2"/>
  <c r="K5" i="2" l="1"/>
  <c r="K6" i="2"/>
  <c r="L5" i="2"/>
  <c r="L6" i="2"/>
  <c r="K17" i="2"/>
  <c r="L3" i="2"/>
  <c r="M3" i="2"/>
  <c r="L4" i="2"/>
  <c r="L24" i="2" s="1"/>
  <c r="L25" i="2" s="1"/>
  <c r="J22" i="2"/>
  <c r="J13" i="2"/>
  <c r="L17" i="2" l="1"/>
  <c r="J20" i="2"/>
  <c r="N3" i="2"/>
  <c r="M4" i="2"/>
  <c r="M24" i="2" s="1"/>
  <c r="M25" i="2" s="1"/>
  <c r="M18" i="2"/>
  <c r="M6" i="2" s="1"/>
  <c r="M5" i="2" l="1"/>
  <c r="O3" i="2"/>
  <c r="N4" i="2"/>
  <c r="N24" i="2" s="1"/>
  <c r="N25" i="2" s="1"/>
  <c r="N18" i="2"/>
  <c r="N6" i="2" s="1"/>
  <c r="N5" i="2" l="1"/>
  <c r="M17" i="2"/>
  <c r="O4" i="2"/>
  <c r="O24" i="2" s="1"/>
  <c r="O25" i="2" s="1"/>
  <c r="O18" i="2"/>
  <c r="O6" i="2" s="1"/>
  <c r="O5" i="2" l="1"/>
  <c r="O17" i="2"/>
  <c r="N17" i="2"/>
  <c r="F3" i="2"/>
  <c r="F4" i="2"/>
  <c r="F11" i="2" s="1"/>
  <c r="F13" i="2" s="1"/>
  <c r="F20" i="2" s="1"/>
  <c r="L8" i="2"/>
  <c r="K8" i="2"/>
  <c r="K11" i="2" s="1"/>
  <c r="M8" i="2" l="1"/>
  <c r="N8" i="2"/>
  <c r="O8" i="2"/>
  <c r="K12" i="2"/>
  <c r="K13" i="2" s="1"/>
  <c r="K20" i="2" l="1"/>
  <c r="K29" i="2"/>
  <c r="K26" i="2"/>
  <c r="L9" i="2" l="1"/>
  <c r="L11" i="2" s="1"/>
  <c r="L12" i="2" l="1"/>
  <c r="L13" i="2" s="1"/>
  <c r="L15" i="2" s="1"/>
  <c r="L26" i="2" l="1"/>
  <c r="L28" i="2" s="1"/>
  <c r="L20" i="2"/>
  <c r="L29" i="2"/>
  <c r="M9" i="2" l="1"/>
  <c r="M11" i="2" s="1"/>
  <c r="M12" i="2" l="1"/>
  <c r="M13" i="2" s="1"/>
  <c r="M15" i="2" s="1"/>
  <c r="M20" i="2" l="1"/>
  <c r="M26" i="2"/>
  <c r="M28" i="2" s="1"/>
  <c r="M29" i="2"/>
  <c r="N9" i="2" l="1"/>
  <c r="N11" i="2" s="1"/>
  <c r="N12" i="2" l="1"/>
  <c r="N13" i="2" s="1"/>
  <c r="N15" i="2" s="1"/>
  <c r="N20" i="2" l="1"/>
  <c r="N26" i="2"/>
  <c r="N28" i="2" s="1"/>
  <c r="N29" i="2"/>
  <c r="O9" i="2" l="1"/>
  <c r="O11" i="2" s="1"/>
  <c r="O12" i="2" l="1"/>
  <c r="O13" i="2" s="1"/>
  <c r="O15" i="2" s="1"/>
  <c r="O26" i="2" l="1"/>
  <c r="O20" i="2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O29" i="2"/>
  <c r="P26" i="2" l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R23" i="2" s="1"/>
  <c r="R24" i="2" s="1"/>
  <c r="R25" i="2" s="1"/>
  <c r="O28" i="2"/>
</calcChain>
</file>

<file path=xl/sharedStrings.xml><?xml version="1.0" encoding="utf-8"?>
<sst xmlns="http://schemas.openxmlformats.org/spreadsheetml/2006/main" count="51" uniqueCount="43">
  <si>
    <t>PINS</t>
  </si>
  <si>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</si>
  <si>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</si>
  <si>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</si>
  <si>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</si>
  <si>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</si>
  <si>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</si>
  <si>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</si>
  <si>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</si>
  <si>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</si>
  <si>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Revenue</t>
  </si>
  <si>
    <t>Net Income</t>
  </si>
  <si>
    <t>Revenue Growth</t>
  </si>
  <si>
    <t>Gross Margin</t>
  </si>
  <si>
    <t>Net Margin</t>
  </si>
  <si>
    <t>CFFO</t>
  </si>
  <si>
    <t>Q124</t>
  </si>
  <si>
    <t>Q224</t>
  </si>
  <si>
    <t>Q324</t>
  </si>
  <si>
    <t>Q424</t>
  </si>
  <si>
    <t>Q125</t>
  </si>
  <si>
    <t>Maturity</t>
  </si>
  <si>
    <t>Discount</t>
  </si>
  <si>
    <t>NPV</t>
  </si>
  <si>
    <t>Diff</t>
  </si>
  <si>
    <t>Pretax Income</t>
  </si>
  <si>
    <t>Tax</t>
  </si>
  <si>
    <t>Tax Rate</t>
  </si>
  <si>
    <t>MAU</t>
  </si>
  <si>
    <t>COGS</t>
  </si>
  <si>
    <t>R&amp;D</t>
  </si>
  <si>
    <t>S&amp;M</t>
  </si>
  <si>
    <t>G&amp;A</t>
  </si>
  <si>
    <t>OPEX</t>
  </si>
  <si>
    <t>Other Income</t>
  </si>
  <si>
    <t>Gross Profit</t>
  </si>
  <si>
    <t>Interest</t>
  </si>
  <si>
    <t>CX</t>
  </si>
  <si>
    <t>Net Cash</t>
  </si>
  <si>
    <t>R&amp;D % of R</t>
  </si>
  <si>
    <t>ROIC</t>
  </si>
  <si>
    <t>EPS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</si>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</sst>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19050</xdr:colOff>
      <xdr:row>43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0F20E6-FE19-897D-49EA-F937B6646118}"/>
            </a:ext>
          </a:extLst>
        </xdr:cNvPr>
        <xdr:cNvCxnSpPr/>
      </xdr:nvCxnSpPr>
      <xdr:spPr>
        <a:xfrm flipH="1">
          <a:off x="6096000" y="0"/>
          <a:ext cx="19050" cy="5514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9525</xdr:rowOff>
    </xdr:from>
    <xdr:to>
      <xdr:col>5</xdr:col>
      <xdr:colOff>0</xdr:colOff>
      <xdr:row>43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86A3CB-0BEC-9DEB-5BD0-735C76F36144}"/>
            </a:ext>
          </a:extLst>
        </xdr:cNvPr>
        <xdr:cNvCxnSpPr/>
      </xdr:nvCxnSpPr>
      <xdr:spPr>
        <a:xfrm>
          <a:off x="3038475" y="9525"/>
          <a:ext cx="9525" cy="548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AB11-F388-4BB8-9EB8-C99DB9269CC8}">
  <dimension ref="A13:H24"/>
  <sheetViews>
    <sheetView topLeftCell="A13" zoomScale="220" zoomScaleNormal="220" workbookViewId="0">
      <selection activeCell="C23" sqref="C23"/>
    </sheetView>
  </sheetViews>
  <sheetFormatPr defaultRowHeight="15" x14ac:dyDescent="0.25"/>
  <sheetData>
    <row r="13" spans="1:8" x14ac:dyDescent="0.25">
      <c r="A13" s="1" t="s">
        <v>0</v>
      </c>
    </row>
    <row r="14" spans="1:8" x14ac:dyDescent="0.25">
      <c r="F14" t="s">
        <v>1</v>
      </c>
      <c r="G14" s="2">
        <v>24.68</v>
      </c>
    </row>
    <row r="15" spans="1:8" x14ac:dyDescent="0.25">
      <c r="F15" t="s">
        <v>2</v>
      </c>
      <c r="G15" s="2">
        <v>678.24</v>
      </c>
      <c r="H15" t="s">
        <v>19</v>
      </c>
    </row>
    <row r="16" spans="1:8" x14ac:dyDescent="0.25">
      <c r="F16" t="s">
        <v>3</v>
      </c>
      <c r="G16" s="2">
        <f>G15*G14</f>
        <v>16738.963199999998</v>
      </c>
    </row>
    <row r="17" spans="6:8" x14ac:dyDescent="0.25">
      <c r="F17" t="s">
        <v>4</v>
      </c>
      <c r="G17" s="2">
        <f>1136.4+1376.4</f>
        <v>2512.8000000000002</v>
      </c>
      <c r="H17" t="s">
        <v>19</v>
      </c>
    </row>
    <row r="18" spans="6:8" x14ac:dyDescent="0.25">
      <c r="F18" t="s">
        <v>5</v>
      </c>
      <c r="G18" s="2">
        <v>0</v>
      </c>
      <c r="H18" t="s">
        <v>19</v>
      </c>
    </row>
    <row r="19" spans="6:8" x14ac:dyDescent="0.25">
      <c r="F19" t="s">
        <v>6</v>
      </c>
      <c r="G19" s="2">
        <f>G16+G18-G17</f>
        <v>14226.163199999999</v>
      </c>
    </row>
    <row r="20" spans="6:8" x14ac:dyDescent="0.25">
      <c r="F20" t="s">
        <v>42</v>
      </c>
      <c r="G20">
        <f>G14/Sheet2!K28</f>
        <v>20.65985281794509</v>
      </c>
    </row>
    <row r="22" spans="6:8" x14ac:dyDescent="0.25">
      <c r="F22" t="s">
        <v>7</v>
      </c>
      <c r="G22" s="2">
        <v>940</v>
      </c>
      <c r="H22" s="3">
        <f>$G$19/G22</f>
        <v>15.134216170212765</v>
      </c>
    </row>
    <row r="23" spans="6:8" x14ac:dyDescent="0.25">
      <c r="F23" t="s">
        <v>8</v>
      </c>
      <c r="G23">
        <f>G22*4</f>
        <v>3760</v>
      </c>
      <c r="H23" s="3">
        <f>$G$19/G23</f>
        <v>3.7835540425531913</v>
      </c>
    </row>
    <row r="24" spans="6:8" x14ac:dyDescent="0.25">
      <c r="F24" t="s">
        <v>9</v>
      </c>
      <c r="G24">
        <f>G23*1.1</f>
        <v>4136</v>
      </c>
      <c r="H24" s="3">
        <f>$G$19/G24</f>
        <v>3.4395945841392646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02D-E6E4-44F9-948E-28184C84453C}">
  <dimension ref="A1:EQ35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" x14ac:dyDescent="0.25"/>
  <cols>
    <col min="1" max="1" width="14.85546875" style="2" customWidth="1"/>
    <col min="2" max="16" width="9.140625" style="2"/>
    <col min="17" max="17" width="10.85546875" style="2" bestFit="1" customWidth="1"/>
    <col min="18" max="16384" width="9.140625" style="2"/>
  </cols>
  <sheetData>
    <row r="1" spans="1:121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H1" s="5">
        <f>I1-1</f>
        <v>2022</v>
      </c>
      <c r="I1" s="5">
        <f>J1-1</f>
        <v>2023</v>
      </c>
      <c r="J1" s="5">
        <v>2024</v>
      </c>
      <c r="K1" s="5">
        <f>J1+1</f>
        <v>2025</v>
      </c>
      <c r="L1" s="5">
        <f t="shared" ref="L1:O1" si="0">K1+1</f>
        <v>2026</v>
      </c>
      <c r="M1" s="5">
        <f t="shared" si="0"/>
        <v>2027</v>
      </c>
      <c r="N1" s="5">
        <f t="shared" si="0"/>
        <v>2028</v>
      </c>
      <c r="O1" s="5">
        <f t="shared" si="0"/>
        <v>2029</v>
      </c>
    </row>
    <row r="2" spans="1:121" x14ac:dyDescent="0.25">
      <c r="A2" s="6" t="s">
        <v>10</v>
      </c>
      <c r="B2" s="6"/>
      <c r="C2" s="6"/>
      <c r="D2" s="6"/>
      <c r="E2" s="6">
        <v>1154</v>
      </c>
      <c r="F2" s="6">
        <v>850</v>
      </c>
      <c r="G2" s="6"/>
      <c r="H2" s="6">
        <v>2802</v>
      </c>
      <c r="I2" s="6">
        <v>3055</v>
      </c>
      <c r="J2" s="6">
        <v>3646</v>
      </c>
      <c r="K2" s="6">
        <f>J2*1.15</f>
        <v>4192.8999999999996</v>
      </c>
      <c r="L2" s="6">
        <f>K2*1.13</f>
        <v>4737.976999999999</v>
      </c>
      <c r="M2" s="6">
        <f t="shared" ref="M2:O2" si="1">L2*1.13</f>
        <v>5353.9140099999986</v>
      </c>
      <c r="N2" s="6">
        <f t="shared" si="1"/>
        <v>6049.9228312999976</v>
      </c>
      <c r="O2" s="6">
        <f t="shared" si="1"/>
        <v>6836.4127993689963</v>
      </c>
    </row>
    <row r="3" spans="1:121" x14ac:dyDescent="0.25">
      <c r="A3" s="2" t="s">
        <v>29</v>
      </c>
      <c r="E3" s="2">
        <v>196.9</v>
      </c>
      <c r="F3" s="2">
        <f>E3*F19</f>
        <v>163.42699999999999</v>
      </c>
      <c r="I3" s="2">
        <v>688.76</v>
      </c>
      <c r="J3" s="2">
        <v>750.35500000000002</v>
      </c>
      <c r="K3" s="2">
        <f>K2*(1-K19)</f>
        <v>829.60833249999973</v>
      </c>
      <c r="L3" s="2">
        <f>L2*(1-L19)</f>
        <v>899.45221988224966</v>
      </c>
      <c r="M3" s="2">
        <f>M2*(1-M19)</f>
        <v>973.00567845161163</v>
      </c>
      <c r="N3" s="2">
        <f>N2*(1-N19)</f>
        <v>1049.9921525038239</v>
      </c>
      <c r="O3" s="2">
        <f>O2*(1-O19)</f>
        <v>1129.9919156589242</v>
      </c>
    </row>
    <row r="4" spans="1:121" x14ac:dyDescent="0.25">
      <c r="A4" s="2" t="s">
        <v>35</v>
      </c>
      <c r="B4" s="2">
        <f>B2-B3</f>
        <v>0</v>
      </c>
      <c r="C4" s="2">
        <f>C2-C3</f>
        <v>0</v>
      </c>
      <c r="D4" s="2">
        <f>D2-D3</f>
        <v>0</v>
      </c>
      <c r="E4" s="2">
        <f>E2-E3</f>
        <v>957.1</v>
      </c>
      <c r="F4" s="2">
        <f>F2-F3</f>
        <v>686.57299999999998</v>
      </c>
      <c r="H4" s="2">
        <f>H2-H3</f>
        <v>2802</v>
      </c>
      <c r="I4" s="2">
        <f t="shared" ref="I4:O4" si="2">I2-I3</f>
        <v>2366.2399999999998</v>
      </c>
      <c r="J4" s="2">
        <f t="shared" si="2"/>
        <v>2895.645</v>
      </c>
      <c r="K4" s="2">
        <f t="shared" si="2"/>
        <v>3363.2916674999997</v>
      </c>
      <c r="L4" s="2">
        <f t="shared" si="2"/>
        <v>3838.5247801177493</v>
      </c>
      <c r="M4" s="2">
        <f t="shared" si="2"/>
        <v>4380.9083315483867</v>
      </c>
      <c r="N4" s="2">
        <f t="shared" si="2"/>
        <v>4999.9306787961741</v>
      </c>
      <c r="O4" s="2">
        <f t="shared" si="2"/>
        <v>5706.4208837100723</v>
      </c>
    </row>
    <row r="5" spans="1:121" x14ac:dyDescent="0.25">
      <c r="A5" s="2" t="s">
        <v>30</v>
      </c>
      <c r="E5" s="2">
        <v>320.7</v>
      </c>
      <c r="I5" s="2">
        <v>1068.4000000000001</v>
      </c>
      <c r="J5" s="2">
        <v>1240.5640000000001</v>
      </c>
      <c r="K5" s="2">
        <f>J5*(1+K18-0.05)</f>
        <v>1364.6204</v>
      </c>
      <c r="L5" s="2">
        <f t="shared" ref="L5:O5" si="3">K5*(1+L18-0.05)</f>
        <v>1473.7900319999999</v>
      </c>
      <c r="M5" s="2">
        <f t="shared" si="3"/>
        <v>1591.6932345599996</v>
      </c>
      <c r="N5" s="2">
        <f t="shared" si="3"/>
        <v>1719.0286933247994</v>
      </c>
      <c r="O5" s="2">
        <f t="shared" si="3"/>
        <v>1856.5509887907831</v>
      </c>
    </row>
    <row r="6" spans="1:121" x14ac:dyDescent="0.25">
      <c r="A6" s="2" t="s">
        <v>31</v>
      </c>
      <c r="E6" s="2">
        <v>271.10000000000002</v>
      </c>
      <c r="I6" s="2">
        <v>911.1</v>
      </c>
      <c r="J6" s="2">
        <v>1011.772</v>
      </c>
      <c r="K6" s="2">
        <f>J6*(1+K18-0.05)</f>
        <v>1112.9492</v>
      </c>
      <c r="L6" s="2">
        <f t="shared" ref="L6:O6" si="4">K6*(1+L18-0.05)</f>
        <v>1201.9851359999998</v>
      </c>
      <c r="M6" s="2">
        <f t="shared" si="4"/>
        <v>1298.1439468799995</v>
      </c>
      <c r="N6" s="2">
        <f t="shared" si="4"/>
        <v>1401.9954626303993</v>
      </c>
      <c r="O6" s="2">
        <f t="shared" si="4"/>
        <v>1514.1550996408309</v>
      </c>
    </row>
    <row r="7" spans="1:121" x14ac:dyDescent="0.25">
      <c r="A7" s="2" t="s">
        <v>32</v>
      </c>
      <c r="E7" s="2">
        <v>103.7</v>
      </c>
      <c r="I7" s="2">
        <v>512.4</v>
      </c>
      <c r="J7" s="2">
        <v>463.65800000000002</v>
      </c>
      <c r="K7" s="2">
        <f>J7*1.05</f>
        <v>486.84090000000003</v>
      </c>
      <c r="L7" s="2">
        <f t="shared" ref="L7:O7" si="5">K7*1.05</f>
        <v>511.18294500000007</v>
      </c>
      <c r="M7" s="2">
        <f t="shared" si="5"/>
        <v>536.74209225000016</v>
      </c>
      <c r="N7" s="2">
        <f t="shared" si="5"/>
        <v>563.57919686250023</v>
      </c>
      <c r="O7" s="2">
        <f t="shared" si="5"/>
        <v>591.75815670562531</v>
      </c>
    </row>
    <row r="8" spans="1:121" x14ac:dyDescent="0.25">
      <c r="A8" s="2" t="s">
        <v>33</v>
      </c>
      <c r="B8" s="2">
        <f>SUM(B5:B7)</f>
        <v>0</v>
      </c>
      <c r="C8" s="2">
        <f t="shared" ref="C8:H8" si="6">SUM(C5:C7)</f>
        <v>0</v>
      </c>
      <c r="D8" s="2">
        <f t="shared" si="6"/>
        <v>0</v>
      </c>
      <c r="E8" s="2">
        <f t="shared" si="6"/>
        <v>695.5</v>
      </c>
      <c r="F8" s="2">
        <f t="shared" si="6"/>
        <v>0</v>
      </c>
      <c r="H8" s="2">
        <f t="shared" si="6"/>
        <v>0</v>
      </c>
      <c r="I8" s="2">
        <f t="shared" ref="I8" si="7">SUM(I5:I7)</f>
        <v>2491.9</v>
      </c>
      <c r="J8" s="2">
        <f t="shared" ref="J8" si="8">SUM(J5:J7)</f>
        <v>2715.9940000000001</v>
      </c>
      <c r="K8" s="2">
        <f t="shared" ref="K8" si="9">SUM(K5:K7)</f>
        <v>2964.4105</v>
      </c>
      <c r="L8" s="2">
        <f t="shared" ref="L8" si="10">SUM(L5:L7)</f>
        <v>3186.9581129999997</v>
      </c>
      <c r="M8" s="2">
        <f t="shared" ref="M8" si="11">SUM(M5:M7)</f>
        <v>3426.5792736899989</v>
      </c>
      <c r="N8" s="2">
        <f t="shared" ref="N8" si="12">SUM(N5:N7)</f>
        <v>3684.603352817699</v>
      </c>
      <c r="O8" s="2">
        <f t="shared" ref="O8" si="13">SUM(O5:O7)</f>
        <v>3962.4642451372397</v>
      </c>
    </row>
    <row r="9" spans="1:121" x14ac:dyDescent="0.25">
      <c r="A9" s="2" t="s">
        <v>36</v>
      </c>
      <c r="E9" s="2">
        <v>28.6</v>
      </c>
      <c r="I9" s="2">
        <v>105.4</v>
      </c>
      <c r="J9" s="2">
        <v>127</v>
      </c>
      <c r="K9" s="2">
        <f>J29*$R$20</f>
        <v>150.768</v>
      </c>
      <c r="L9" s="2">
        <f t="shared" ref="L9:O9" si="14">K29*$R$20</f>
        <v>177.48094954050001</v>
      </c>
      <c r="M9" s="2">
        <f t="shared" si="14"/>
        <v>217.77266371009094</v>
      </c>
      <c r="N9" s="2">
        <f t="shared" si="14"/>
        <v>274.73680737831904</v>
      </c>
      <c r="O9" s="2">
        <f t="shared" si="14"/>
        <v>352.0139242594592</v>
      </c>
    </row>
    <row r="10" spans="1:121" x14ac:dyDescent="0.25">
      <c r="A10" s="2" t="s">
        <v>34</v>
      </c>
      <c r="E10" s="2">
        <v>-13.3</v>
      </c>
      <c r="I10" s="2">
        <v>3.8</v>
      </c>
      <c r="J10" s="2">
        <v>-19.215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21" x14ac:dyDescent="0.25">
      <c r="A11" s="2" t="s">
        <v>25</v>
      </c>
      <c r="B11" s="2">
        <f>B4-B8+B10+B9</f>
        <v>0</v>
      </c>
      <c r="C11" s="2">
        <f t="shared" ref="C11:D11" si="15">C4-C8+C10+C9</f>
        <v>0</v>
      </c>
      <c r="D11" s="2">
        <f t="shared" si="15"/>
        <v>0</v>
      </c>
      <c r="E11" s="2">
        <f>E4-E8+E10+E9</f>
        <v>276.90000000000003</v>
      </c>
      <c r="F11" s="2">
        <f>F4-F8+F10+F9</f>
        <v>686.57299999999998</v>
      </c>
      <c r="H11" s="2">
        <f t="shared" ref="H11:M11" si="16">H4-H8+H10+H9</f>
        <v>2802</v>
      </c>
      <c r="I11" s="2">
        <f t="shared" si="16"/>
        <v>-16.460000000000306</v>
      </c>
      <c r="J11" s="2">
        <f t="shared" si="16"/>
        <v>287.43599999999981</v>
      </c>
      <c r="K11" s="2">
        <f t="shared" si="16"/>
        <v>549.64916749999975</v>
      </c>
      <c r="L11" s="2">
        <f t="shared" si="16"/>
        <v>829.04761665824958</v>
      </c>
      <c r="M11" s="2">
        <f t="shared" si="16"/>
        <v>1172.1017215684788</v>
      </c>
      <c r="N11" s="2">
        <f t="shared" ref="N11:O11" si="17">N4-N8+N10+N9</f>
        <v>1590.0641333567942</v>
      </c>
      <c r="O11" s="2">
        <f t="shared" si="17"/>
        <v>2095.9705628322918</v>
      </c>
    </row>
    <row r="12" spans="1:121" x14ac:dyDescent="0.25">
      <c r="A12" s="2" t="s">
        <v>26</v>
      </c>
      <c r="E12" s="2">
        <v>-1570.6</v>
      </c>
      <c r="I12" s="2">
        <v>19.170000000000002</v>
      </c>
      <c r="J12" s="2">
        <v>-1574.501</v>
      </c>
      <c r="K12" s="2">
        <f>K11*K22</f>
        <v>104.43334182499996</v>
      </c>
      <c r="L12" s="2">
        <f>L11*L22</f>
        <v>157.51904716506743</v>
      </c>
      <c r="M12" s="2">
        <f>M11*M22</f>
        <v>222.69932709801097</v>
      </c>
      <c r="N12" s="2">
        <f>N11*N22</f>
        <v>302.11218533779089</v>
      </c>
      <c r="O12" s="2">
        <f>O11*O22</f>
        <v>398.23440693813546</v>
      </c>
    </row>
    <row r="13" spans="1:121" s="6" customFormat="1" x14ac:dyDescent="0.25">
      <c r="A13" s="6" t="s">
        <v>11</v>
      </c>
      <c r="B13" s="6">
        <f>B11-B12</f>
        <v>0</v>
      </c>
      <c r="C13" s="6">
        <f>C11-C12</f>
        <v>0</v>
      </c>
      <c r="D13" s="6">
        <f>D11-D12</f>
        <v>0</v>
      </c>
      <c r="E13" s="6">
        <f>E11-E12</f>
        <v>1847.5</v>
      </c>
      <c r="F13" s="6">
        <f>F11-F12</f>
        <v>686.57299999999998</v>
      </c>
      <c r="H13" s="6">
        <v>-96</v>
      </c>
      <c r="I13" s="6">
        <v>-35</v>
      </c>
      <c r="J13" s="6">
        <f t="shared" ref="J13:O13" si="18">J11-J12</f>
        <v>1861.9369999999999</v>
      </c>
      <c r="K13" s="6">
        <f t="shared" si="18"/>
        <v>445.21582567499979</v>
      </c>
      <c r="L13" s="6">
        <f t="shared" si="18"/>
        <v>671.5285694931822</v>
      </c>
      <c r="M13" s="6">
        <f t="shared" si="18"/>
        <v>949.40239447046781</v>
      </c>
      <c r="N13" s="6">
        <f t="shared" si="18"/>
        <v>1287.9519480190033</v>
      </c>
      <c r="O13" s="6">
        <f t="shared" si="18"/>
        <v>1697.7361558941564</v>
      </c>
      <c r="P13" s="6">
        <f t="shared" ref="P13:AU13" si="19">O13*(1+$R$21)</f>
        <v>1714.7135174530979</v>
      </c>
      <c r="Q13" s="6">
        <f t="shared" si="19"/>
        <v>1731.860652627629</v>
      </c>
      <c r="R13" s="6">
        <f t="shared" si="19"/>
        <v>1749.1792591539052</v>
      </c>
      <c r="S13" s="6">
        <f t="shared" si="19"/>
        <v>1766.6710517454442</v>
      </c>
      <c r="T13" s="6">
        <f t="shared" si="19"/>
        <v>1784.3377622628987</v>
      </c>
      <c r="U13" s="6">
        <f t="shared" si="19"/>
        <v>1802.1811398855277</v>
      </c>
      <c r="V13" s="6">
        <f t="shared" si="19"/>
        <v>1820.2029512843831</v>
      </c>
      <c r="W13" s="6">
        <f t="shared" si="19"/>
        <v>1838.4049807972269</v>
      </c>
      <c r="X13" s="6">
        <f t="shared" si="19"/>
        <v>1856.7890306051993</v>
      </c>
      <c r="Y13" s="6">
        <f t="shared" si="19"/>
        <v>1875.3569209112513</v>
      </c>
      <c r="Z13" s="6">
        <f t="shared" si="19"/>
        <v>1894.1104901203639</v>
      </c>
      <c r="AA13" s="6">
        <f t="shared" si="19"/>
        <v>1913.0515950215677</v>
      </c>
      <c r="AB13" s="6">
        <f t="shared" si="19"/>
        <v>1932.1821109717835</v>
      </c>
      <c r="AC13" s="6">
        <f t="shared" si="19"/>
        <v>1951.5039320815013</v>
      </c>
      <c r="AD13" s="6">
        <f t="shared" si="19"/>
        <v>1971.0189714023163</v>
      </c>
      <c r="AE13" s="6">
        <f t="shared" si="19"/>
        <v>1990.7291611163396</v>
      </c>
      <c r="AF13" s="6">
        <f t="shared" si="19"/>
        <v>2010.636452727503</v>
      </c>
      <c r="AG13" s="6">
        <f t="shared" si="19"/>
        <v>2030.7428172547779</v>
      </c>
      <c r="AH13" s="6">
        <f t="shared" si="19"/>
        <v>2051.0502454273255</v>
      </c>
      <c r="AI13" s="6">
        <f t="shared" si="19"/>
        <v>2071.5607478815987</v>
      </c>
      <c r="AJ13" s="6">
        <f t="shared" si="19"/>
        <v>2092.2763553604145</v>
      </c>
      <c r="AK13" s="6">
        <f t="shared" si="19"/>
        <v>2113.1991189140185</v>
      </c>
      <c r="AL13" s="6">
        <f t="shared" si="19"/>
        <v>2134.3311101031586</v>
      </c>
      <c r="AM13" s="6">
        <f t="shared" si="19"/>
        <v>2155.6744212041904</v>
      </c>
      <c r="AN13" s="6">
        <f t="shared" si="19"/>
        <v>2177.2311654162322</v>
      </c>
      <c r="AO13" s="6">
        <f t="shared" si="19"/>
        <v>2199.0034770703946</v>
      </c>
      <c r="AP13" s="6">
        <f t="shared" si="19"/>
        <v>2220.9935118410986</v>
      </c>
      <c r="AQ13" s="6">
        <f t="shared" si="19"/>
        <v>2243.2034469595096</v>
      </c>
      <c r="AR13" s="6">
        <f t="shared" si="19"/>
        <v>2265.6354814291049</v>
      </c>
      <c r="AS13" s="6">
        <f t="shared" si="19"/>
        <v>2288.2918362433961</v>
      </c>
      <c r="AT13" s="6">
        <f t="shared" si="19"/>
        <v>2311.17475460583</v>
      </c>
      <c r="AU13" s="6">
        <f t="shared" si="19"/>
        <v>2334.2865021518883</v>
      </c>
      <c r="AV13" s="6">
        <f t="shared" ref="AV13:BW13" si="20">AU13*(1+$R$21)</f>
        <v>2357.629367173407</v>
      </c>
      <c r="AW13" s="6">
        <f t="shared" si="20"/>
        <v>2381.2056608451412</v>
      </c>
      <c r="AX13" s="6">
        <f t="shared" si="20"/>
        <v>2405.0177174535925</v>
      </c>
      <c r="AY13" s="6">
        <f t="shared" si="20"/>
        <v>2429.0678946281282</v>
      </c>
      <c r="AZ13" s="6">
        <f t="shared" si="20"/>
        <v>2453.3585735744095</v>
      </c>
      <c r="BA13" s="6">
        <f t="shared" si="20"/>
        <v>2477.8921593101536</v>
      </c>
      <c r="BB13" s="6">
        <f t="shared" si="20"/>
        <v>2502.6710809032552</v>
      </c>
      <c r="BC13" s="6">
        <f t="shared" si="20"/>
        <v>2527.6977917122877</v>
      </c>
      <c r="BD13" s="6">
        <f t="shared" si="20"/>
        <v>2552.9747696294107</v>
      </c>
      <c r="BE13" s="6">
        <f t="shared" si="20"/>
        <v>2578.5045173257049</v>
      </c>
      <c r="BF13" s="6">
        <f t="shared" si="20"/>
        <v>2604.2895624989619</v>
      </c>
      <c r="BG13" s="6">
        <f t="shared" si="20"/>
        <v>2630.3324581239517</v>
      </c>
      <c r="BH13" s="6">
        <f t="shared" si="20"/>
        <v>2656.6357827051911</v>
      </c>
      <c r="BI13" s="6">
        <f t="shared" si="20"/>
        <v>2683.202140532243</v>
      </c>
      <c r="BJ13" s="6">
        <f t="shared" si="20"/>
        <v>2710.0341619375654</v>
      </c>
      <c r="BK13" s="6">
        <f t="shared" si="20"/>
        <v>2737.1345035569411</v>
      </c>
      <c r="BL13" s="6">
        <f t="shared" si="20"/>
        <v>2764.5058485925106</v>
      </c>
      <c r="BM13" s="6">
        <f t="shared" si="20"/>
        <v>2792.1509070784359</v>
      </c>
      <c r="BN13" s="6">
        <f t="shared" si="20"/>
        <v>2820.0724161492203</v>
      </c>
      <c r="BO13" s="6">
        <f t="shared" si="20"/>
        <v>2848.2731403107127</v>
      </c>
      <c r="BP13" s="6">
        <f t="shared" si="20"/>
        <v>2876.7558717138199</v>
      </c>
      <c r="BQ13" s="6">
        <f t="shared" si="20"/>
        <v>2905.5234304309583</v>
      </c>
      <c r="BR13" s="6">
        <f t="shared" si="20"/>
        <v>2934.5786647352679</v>
      </c>
      <c r="BS13" s="6">
        <f t="shared" si="20"/>
        <v>2963.9244513826206</v>
      </c>
      <c r="BT13" s="6">
        <f t="shared" si="20"/>
        <v>2993.5636958964469</v>
      </c>
      <c r="BU13" s="6">
        <f t="shared" si="20"/>
        <v>3023.4993328554115</v>
      </c>
      <c r="BV13" s="6">
        <f t="shared" si="20"/>
        <v>3053.7343261839655</v>
      </c>
      <c r="BW13" s="6">
        <f t="shared" si="20"/>
        <v>3084.2716694458054</v>
      </c>
      <c r="BX13" s="6">
        <f t="shared" ref="BX13" si="21">BW13*(1+$R$21)</f>
        <v>3115.1143861402634</v>
      </c>
      <c r="BY13" s="6">
        <f t="shared" ref="BY13" si="22">BX13*(1+$R$21)</f>
        <v>3146.2655300016659</v>
      </c>
      <c r="BZ13" s="6">
        <f t="shared" ref="BZ13" si="23">BY13*(1+$R$21)</f>
        <v>3177.7281853016825</v>
      </c>
      <c r="CA13" s="6">
        <f t="shared" ref="CA13" si="24">BZ13*(1+$R$21)</f>
        <v>3209.5054671546995</v>
      </c>
      <c r="CB13" s="6">
        <f t="shared" ref="CB13" si="25">CA13*(1+$R$21)</f>
        <v>3241.6005218262467</v>
      </c>
      <c r="CC13" s="6">
        <f t="shared" ref="CC13" si="26">CB13*(1+$R$21)</f>
        <v>3274.0165270445091</v>
      </c>
      <c r="CD13" s="6">
        <f t="shared" ref="CD13" si="27">CC13*(1+$R$21)</f>
        <v>3306.7566923149543</v>
      </c>
      <c r="CE13" s="6">
        <f t="shared" ref="CE13" si="28">CD13*(1+$R$21)</f>
        <v>3339.8242592381039</v>
      </c>
      <c r="CF13" s="6">
        <f t="shared" ref="CF13" si="29">CE13*(1+$R$21)</f>
        <v>3373.2225018304848</v>
      </c>
      <c r="CG13" s="6">
        <f t="shared" ref="CG13" si="30">CF13*(1+$R$21)</f>
        <v>3406.9547268487895</v>
      </c>
      <c r="CH13" s="6">
        <f t="shared" ref="CH13" si="31">CG13*(1+$R$21)</f>
        <v>3441.0242741172774</v>
      </c>
      <c r="CI13" s="6">
        <f t="shared" ref="CI13" si="32">CH13*(1+$R$21)</f>
        <v>3475.43451685845</v>
      </c>
      <c r="CJ13" s="6">
        <f t="shared" ref="CJ13" si="33">CI13*(1+$R$21)</f>
        <v>3510.1888620270347</v>
      </c>
      <c r="CK13" s="6">
        <f t="shared" ref="CK13" si="34">CJ13*(1+$R$21)</f>
        <v>3545.2907506473052</v>
      </c>
      <c r="CL13" s="6">
        <f t="shared" ref="CL13" si="35">CK13*(1+$R$21)</f>
        <v>3580.7436581537781</v>
      </c>
      <c r="CM13" s="6">
        <f t="shared" ref="CM13" si="36">CL13*(1+$R$21)</f>
        <v>3616.5510947353159</v>
      </c>
      <c r="CN13" s="6">
        <f t="shared" ref="CN13" si="37">CM13*(1+$R$21)</f>
        <v>3652.7166056826691</v>
      </c>
      <c r="CO13" s="6">
        <f t="shared" ref="CO13" si="38">CN13*(1+$R$21)</f>
        <v>3689.243771739496</v>
      </c>
      <c r="CP13" s="6">
        <f t="shared" ref="CP13" si="39">CO13*(1+$R$21)</f>
        <v>3726.1362094568908</v>
      </c>
      <c r="CQ13" s="6">
        <f t="shared" ref="CQ13" si="40">CP13*(1+$R$21)</f>
        <v>3763.3975715514598</v>
      </c>
      <c r="CR13" s="6">
        <f t="shared" ref="CR13" si="41">CQ13*(1+$R$21)</f>
        <v>3801.0315472669745</v>
      </c>
      <c r="CS13" s="6">
        <f t="shared" ref="CS13" si="42">CR13*(1+$R$21)</f>
        <v>3839.0418627396443</v>
      </c>
      <c r="CT13" s="6">
        <f t="shared" ref="CT13" si="43">CS13*(1+$R$21)</f>
        <v>3877.432281367041</v>
      </c>
      <c r="CU13" s="6">
        <f t="shared" ref="CU13" si="44">CT13*(1+$R$21)</f>
        <v>3916.2066041807116</v>
      </c>
      <c r="CV13" s="6">
        <f t="shared" ref="CV13" si="45">CU13*(1+$R$21)</f>
        <v>3955.3686702225186</v>
      </c>
      <c r="CW13" s="6">
        <f t="shared" ref="CW13" si="46">CV13*(1+$R$21)</f>
        <v>3994.9223569247438</v>
      </c>
      <c r="CX13" s="6">
        <f t="shared" ref="CX13" si="47">CW13*(1+$R$21)</f>
        <v>4034.8715804939911</v>
      </c>
      <c r="CY13" s="6">
        <f t="shared" ref="CY13" si="48">CX13*(1+$R$21)</f>
        <v>4075.2202962989309</v>
      </c>
      <c r="CZ13" s="6">
        <f t="shared" ref="CZ13" si="49">CY13*(1+$R$21)</f>
        <v>4115.9724992619203</v>
      </c>
      <c r="DA13" s="6">
        <f t="shared" ref="DA13" si="50">CZ13*(1+$R$21)</f>
        <v>4157.1322242545393</v>
      </c>
      <c r="DB13" s="6">
        <f t="shared" ref="DB13" si="51">DA13*(1+$R$21)</f>
        <v>4198.703546497085</v>
      </c>
      <c r="DC13" s="6">
        <f t="shared" ref="DC13" si="52">DB13*(1+$R$21)</f>
        <v>4240.6905819620561</v>
      </c>
      <c r="DD13" s="6">
        <f t="shared" ref="DD13" si="53">DC13*(1+$R$21)</f>
        <v>4283.097487781677</v>
      </c>
      <c r="DE13" s="6">
        <f t="shared" ref="DE13" si="54">DD13*(1+$R$21)</f>
        <v>4325.9284626594936</v>
      </c>
      <c r="DF13" s="6">
        <f t="shared" ref="DF13" si="55">DE13*(1+$R$21)</f>
        <v>4369.1877472860888</v>
      </c>
      <c r="DG13" s="6">
        <f t="shared" ref="DG13" si="56">DF13*(1+$R$21)</f>
        <v>4412.8796247589498</v>
      </c>
      <c r="DH13" s="6">
        <f t="shared" ref="DH13" si="57">DG13*(1+$R$21)</f>
        <v>4457.0084210065397</v>
      </c>
      <c r="DI13" s="6">
        <f t="shared" ref="DI13" si="58">DH13*(1+$R$21)</f>
        <v>4501.5785052166048</v>
      </c>
      <c r="DJ13" s="6">
        <f t="shared" ref="DJ13" si="59">DI13*(1+$R$21)</f>
        <v>4546.5942902687711</v>
      </c>
      <c r="DK13" s="6">
        <f t="shared" ref="DK13" si="60">DJ13*(1+$R$21)</f>
        <v>4592.060233171459</v>
      </c>
      <c r="DL13" s="6">
        <f t="shared" ref="DL13" si="61">DK13*(1+$R$21)</f>
        <v>4637.9808355031737</v>
      </c>
      <c r="DM13" s="6">
        <f t="shared" ref="DM13" si="62">DL13*(1+$R$21)</f>
        <v>4684.3606438582055</v>
      </c>
      <c r="DN13" s="6">
        <f t="shared" ref="DN13" si="63">DM13*(1+$R$21)</f>
        <v>4731.2042502967879</v>
      </c>
      <c r="DO13" s="6">
        <f t="shared" ref="DO13" si="64">DN13*(1+$R$21)</f>
        <v>4778.5162927997562</v>
      </c>
      <c r="DP13" s="6">
        <f t="shared" ref="DP13" si="65">DO13*(1+$R$21)</f>
        <v>4826.3014557277538</v>
      </c>
      <c r="DQ13" s="6">
        <f t="shared" ref="DQ13" si="66">DP13*(1+$R$21)</f>
        <v>4874.5644702850313</v>
      </c>
    </row>
    <row r="14" spans="1:121" s="6" customFormat="1" x14ac:dyDescent="0.25">
      <c r="A14" s="2" t="s">
        <v>2</v>
      </c>
      <c r="J14" s="2">
        <v>678.24</v>
      </c>
      <c r="K14" s="2">
        <v>678.24</v>
      </c>
      <c r="L14" s="2">
        <v>678.24</v>
      </c>
      <c r="M14" s="2">
        <v>678.24</v>
      </c>
      <c r="N14" s="2">
        <v>678.24</v>
      </c>
      <c r="O14" s="2">
        <v>678.24</v>
      </c>
    </row>
    <row r="15" spans="1:121" s="6" customFormat="1" x14ac:dyDescent="0.25">
      <c r="A15" s="2" t="s">
        <v>41</v>
      </c>
      <c r="J15" s="9">
        <f>J13/J14</f>
        <v>2.7452479948100965</v>
      </c>
      <c r="K15" s="9">
        <f t="shared" ref="K15:O15" si="67">K13/K14</f>
        <v>0.65642814589968124</v>
      </c>
      <c r="L15" s="9">
        <f t="shared" si="67"/>
        <v>0.99010463772880131</v>
      </c>
      <c r="M15" s="9">
        <f t="shared" si="67"/>
        <v>1.3998030114273234</v>
      </c>
      <c r="N15" s="9">
        <f t="shared" si="67"/>
        <v>1.8989619427031779</v>
      </c>
      <c r="O15" s="9">
        <f t="shared" si="67"/>
        <v>2.5031495575226415</v>
      </c>
    </row>
    <row r="16" spans="1:121" s="6" customFormat="1" x14ac:dyDescent="0.25"/>
    <row r="17" spans="1:147" x14ac:dyDescent="0.25">
      <c r="A17" s="2" t="s">
        <v>39</v>
      </c>
      <c r="H17" s="4">
        <f t="shared" ref="H17:O17" si="68">H5/H2</f>
        <v>0</v>
      </c>
      <c r="I17" s="4">
        <f t="shared" si="68"/>
        <v>0.34972176759410806</v>
      </c>
      <c r="J17" s="4">
        <f t="shared" si="68"/>
        <v>0.34025342841470108</v>
      </c>
      <c r="K17" s="4">
        <f t="shared" si="68"/>
        <v>0.32545980109232275</v>
      </c>
      <c r="L17" s="4">
        <f t="shared" si="68"/>
        <v>0.31105892493779524</v>
      </c>
      <c r="M17" s="4">
        <f t="shared" si="68"/>
        <v>0.29729525569276</v>
      </c>
      <c r="N17" s="4">
        <f t="shared" si="68"/>
        <v>0.28414059836122196</v>
      </c>
      <c r="O17" s="4">
        <f t="shared" si="68"/>
        <v>0.27156800551338028</v>
      </c>
    </row>
    <row r="18" spans="1:147" x14ac:dyDescent="0.25">
      <c r="A18" s="6" t="s">
        <v>12</v>
      </c>
      <c r="B18" s="6"/>
      <c r="C18" s="6"/>
      <c r="D18" s="6"/>
      <c r="E18" s="6"/>
      <c r="F18" s="6"/>
      <c r="G18" s="6"/>
      <c r="H18" s="6"/>
      <c r="I18" s="7">
        <f t="shared" ref="I18:O18" si="69">I2/H2-1</f>
        <v>9.0292648108494022E-2</v>
      </c>
      <c r="J18" s="7">
        <f t="shared" si="69"/>
        <v>0.1934533551554829</v>
      </c>
      <c r="K18" s="7">
        <f t="shared" si="69"/>
        <v>0.14999999999999991</v>
      </c>
      <c r="L18" s="7">
        <f t="shared" si="69"/>
        <v>0.12999999999999989</v>
      </c>
      <c r="M18" s="7">
        <f t="shared" si="69"/>
        <v>0.12999999999999989</v>
      </c>
      <c r="N18" s="7">
        <f t="shared" si="69"/>
        <v>0.12999999999999989</v>
      </c>
      <c r="O18" s="7">
        <f t="shared" si="69"/>
        <v>0.12999999999999989</v>
      </c>
    </row>
    <row r="19" spans="1:147" x14ac:dyDescent="0.25">
      <c r="A19" s="2" t="s">
        <v>13</v>
      </c>
      <c r="B19" s="4" t="e">
        <f>B4/B2</f>
        <v>#DIV/0!</v>
      </c>
      <c r="C19" s="4" t="e">
        <f>C4/C2</f>
        <v>#DIV/0!</v>
      </c>
      <c r="D19" s="4" t="e">
        <f>D4/D2</f>
        <v>#DIV/0!</v>
      </c>
      <c r="E19" s="4">
        <f>E4/E2</f>
        <v>0.82937608318890821</v>
      </c>
      <c r="F19" s="4">
        <v>0.83</v>
      </c>
      <c r="H19" s="4">
        <f>H4/H2</f>
        <v>1</v>
      </c>
      <c r="I19" s="4">
        <f>I4/I2</f>
        <v>0.77454664484451707</v>
      </c>
      <c r="J19" s="4">
        <f>J4/J2</f>
        <v>0.79419775095995615</v>
      </c>
      <c r="K19" s="4">
        <f>J19*1.01</f>
        <v>0.80213972846955572</v>
      </c>
      <c r="L19" s="4">
        <f t="shared" ref="L19:O19" si="70">K19*1.01</f>
        <v>0.81016112575425125</v>
      </c>
      <c r="M19" s="4">
        <f t="shared" si="70"/>
        <v>0.81826273701179375</v>
      </c>
      <c r="N19" s="4">
        <f t="shared" si="70"/>
        <v>0.82644536438191174</v>
      </c>
      <c r="O19" s="4">
        <f t="shared" si="70"/>
        <v>0.83470981802573085</v>
      </c>
    </row>
    <row r="20" spans="1:147" x14ac:dyDescent="0.25">
      <c r="A20" s="2" t="s">
        <v>14</v>
      </c>
      <c r="E20" s="4">
        <f>E13/E2</f>
        <v>1.600953206239168</v>
      </c>
      <c r="F20" s="4">
        <f>F13/F2</f>
        <v>0.80773294117647054</v>
      </c>
      <c r="H20" s="4">
        <f t="shared" ref="H20:O20" si="71">H13/H2</f>
        <v>-3.4261241970021415E-2</v>
      </c>
      <c r="I20" s="4">
        <f t="shared" si="71"/>
        <v>-1.1456628477905073E-2</v>
      </c>
      <c r="J20" s="4">
        <f t="shared" si="71"/>
        <v>0.51067937465715851</v>
      </c>
      <c r="K20" s="4">
        <f t="shared" si="71"/>
        <v>0.10618326830475323</v>
      </c>
      <c r="L20" s="4">
        <f t="shared" si="71"/>
        <v>0.14173318475230723</v>
      </c>
      <c r="M20" s="4">
        <f t="shared" si="71"/>
        <v>0.17732865949979426</v>
      </c>
      <c r="N20" s="4">
        <f t="shared" si="71"/>
        <v>0.21288733491865885</v>
      </c>
      <c r="O20" s="4">
        <f t="shared" si="71"/>
        <v>0.24833727946487638</v>
      </c>
      <c r="Q20" s="2" t="s">
        <v>40</v>
      </c>
      <c r="R20" s="4">
        <v>0.06</v>
      </c>
    </row>
    <row r="21" spans="1:147" x14ac:dyDescent="0.25">
      <c r="H21" s="4"/>
      <c r="I21" s="4"/>
      <c r="J21" s="4"/>
      <c r="K21" s="4"/>
      <c r="L21" s="4"/>
      <c r="M21" s="4"/>
      <c r="N21" s="4"/>
      <c r="O21" s="4"/>
      <c r="Q21" s="2" t="s">
        <v>21</v>
      </c>
      <c r="R21" s="4">
        <v>0.01</v>
      </c>
    </row>
    <row r="22" spans="1:147" x14ac:dyDescent="0.25">
      <c r="A22" s="2" t="s">
        <v>27</v>
      </c>
      <c r="E22" s="4">
        <v>0.21</v>
      </c>
      <c r="F22" s="4">
        <v>0.21</v>
      </c>
      <c r="H22" s="4">
        <f>H12/H11</f>
        <v>0</v>
      </c>
      <c r="I22" s="4">
        <f>I12/I11</f>
        <v>-1.1646415552855192</v>
      </c>
      <c r="J22" s="4">
        <f>J12/J11</f>
        <v>-5.4777446109742725</v>
      </c>
      <c r="K22" s="4">
        <v>0.19</v>
      </c>
      <c r="L22" s="4">
        <v>0.19</v>
      </c>
      <c r="M22" s="4">
        <v>0.19</v>
      </c>
      <c r="N22" s="4">
        <v>0.19</v>
      </c>
      <c r="O22" s="4">
        <v>0.19</v>
      </c>
      <c r="Q22" s="2" t="s">
        <v>22</v>
      </c>
      <c r="R22" s="8">
        <v>0.08</v>
      </c>
    </row>
    <row r="23" spans="1:147" x14ac:dyDescent="0.25">
      <c r="H23" s="4">
        <f>H24/H4</f>
        <v>0.16738044254104212</v>
      </c>
      <c r="I23" s="4">
        <f>I24/I4</f>
        <v>0.25906078842382857</v>
      </c>
      <c r="J23" s="4">
        <f>J24/J4</f>
        <v>0.33325908390013281</v>
      </c>
      <c r="K23" s="4">
        <v>0.33</v>
      </c>
      <c r="L23" s="4">
        <f>K23*1.05</f>
        <v>0.34650000000000003</v>
      </c>
      <c r="M23" s="4">
        <f t="shared" ref="M23:O23" si="72">L23*1.05</f>
        <v>0.36382500000000007</v>
      </c>
      <c r="N23" s="4">
        <f t="shared" si="72"/>
        <v>0.38201625000000006</v>
      </c>
      <c r="O23" s="4">
        <f t="shared" si="72"/>
        <v>0.40111706250000007</v>
      </c>
      <c r="Q23" s="2" t="s">
        <v>23</v>
      </c>
      <c r="R23" s="2">
        <f>NPV(R22,K26:EQ26)+Sheet1!G17-Sheet1!G18</f>
        <v>23587.050628653757</v>
      </c>
    </row>
    <row r="24" spans="1:147" x14ac:dyDescent="0.25">
      <c r="A24" s="2" t="s">
        <v>15</v>
      </c>
      <c r="H24" s="2">
        <v>469</v>
      </c>
      <c r="I24" s="2">
        <v>613</v>
      </c>
      <c r="J24" s="2">
        <v>965</v>
      </c>
      <c r="K24" s="2">
        <f>K23*K4</f>
        <v>1109.8862502749998</v>
      </c>
      <c r="L24" s="2">
        <f t="shared" ref="L24:O24" si="73">L23*L4</f>
        <v>1330.0488363108002</v>
      </c>
      <c r="M24" s="2">
        <f t="shared" si="73"/>
        <v>1593.8839737255921</v>
      </c>
      <c r="N24" s="2">
        <f t="shared" si="73"/>
        <v>1910.0547681736693</v>
      </c>
      <c r="O24" s="2">
        <f t="shared" si="73"/>
        <v>2288.9427822624389</v>
      </c>
      <c r="Q24" s="2" t="s">
        <v>1</v>
      </c>
      <c r="R24" s="2">
        <f>R23/Sheet1!G15</f>
        <v>34.776849829932999</v>
      </c>
    </row>
    <row r="25" spans="1:147" x14ac:dyDescent="0.25">
      <c r="A25" s="2" t="s">
        <v>37</v>
      </c>
      <c r="H25" s="2">
        <v>128</v>
      </c>
      <c r="I25" s="2">
        <v>37</v>
      </c>
      <c r="J25" s="2">
        <v>221</v>
      </c>
      <c r="K25" s="2">
        <f>K24*K27</f>
        <v>299.66928757424995</v>
      </c>
      <c r="L25" s="2">
        <f t="shared" ref="L25:O25" si="74">L24*L27</f>
        <v>359.11318580391605</v>
      </c>
      <c r="M25" s="2">
        <f t="shared" si="74"/>
        <v>430.34867290590989</v>
      </c>
      <c r="N25" s="2">
        <f t="shared" si="74"/>
        <v>515.71478740689076</v>
      </c>
      <c r="O25" s="2">
        <f t="shared" si="74"/>
        <v>618.01455121085849</v>
      </c>
      <c r="Q25" s="2" t="s">
        <v>24</v>
      </c>
      <c r="R25" s="4">
        <f>R24/Sheet1!G14-1</f>
        <v>0.40911060899242302</v>
      </c>
    </row>
    <row r="26" spans="1:147" x14ac:dyDescent="0.25">
      <c r="A26" s="6" t="s">
        <v>7</v>
      </c>
      <c r="B26" s="6">
        <f>B24-B25</f>
        <v>0</v>
      </c>
      <c r="C26" s="6">
        <f>C24-C25</f>
        <v>0</v>
      </c>
      <c r="D26" s="6">
        <f>D24-D25</f>
        <v>0</v>
      </c>
      <c r="E26" s="6">
        <f>E24-E25</f>
        <v>0</v>
      </c>
      <c r="F26" s="6">
        <f>F24-F25</f>
        <v>0</v>
      </c>
      <c r="G26" s="6"/>
      <c r="H26" s="6">
        <f>H24-H25</f>
        <v>341</v>
      </c>
      <c r="I26" s="6">
        <f>I24-I25</f>
        <v>576</v>
      </c>
      <c r="J26" s="6">
        <f>J24-J25</f>
        <v>744</v>
      </c>
      <c r="K26" s="6">
        <f>K24-K25</f>
        <v>810.21696270074995</v>
      </c>
      <c r="L26" s="6">
        <f t="shared" ref="L26:O26" si="75">L24-L25</f>
        <v>970.93565050688414</v>
      </c>
      <c r="M26" s="6">
        <f t="shared" si="75"/>
        <v>1163.5353008196821</v>
      </c>
      <c r="N26" s="6">
        <f t="shared" si="75"/>
        <v>1394.3399807667786</v>
      </c>
      <c r="O26" s="6">
        <f t="shared" si="75"/>
        <v>1670.9282310515805</v>
      </c>
      <c r="P26" s="6">
        <f t="shared" ref="P26" si="76">O26*(1+$R$21)</f>
        <v>1687.6375133620963</v>
      </c>
      <c r="Q26" s="6">
        <f t="shared" ref="Q26" si="77">P26*(1+$R$21)</f>
        <v>1704.5138884957173</v>
      </c>
      <c r="R26" s="6">
        <f t="shared" ref="R26" si="78">Q26*(1+$R$21)</f>
        <v>1721.5590273806745</v>
      </c>
      <c r="S26" s="6">
        <f t="shared" ref="S26" si="79">R26*(1+$R$21)</f>
        <v>1738.7746176544813</v>
      </c>
      <c r="T26" s="6">
        <f t="shared" ref="T26" si="80">S26*(1+$R$21)</f>
        <v>1756.1623638310261</v>
      </c>
      <c r="U26" s="6">
        <f t="shared" ref="U26" si="81">T26*(1+$R$21)</f>
        <v>1773.7239874693364</v>
      </c>
      <c r="V26" s="6">
        <f t="shared" ref="V26" si="82">U26*(1+$R$21)</f>
        <v>1791.4612273440298</v>
      </c>
      <c r="W26" s="6">
        <f t="shared" ref="W26" si="83">V26*(1+$R$21)</f>
        <v>1809.3758396174701</v>
      </c>
      <c r="X26" s="6">
        <f t="shared" ref="X26" si="84">W26*(1+$R$21)</f>
        <v>1827.4695980136448</v>
      </c>
      <c r="Y26" s="6">
        <f t="shared" ref="Y26" si="85">X26*(1+$R$21)</f>
        <v>1845.7442939937812</v>
      </c>
      <c r="Z26" s="6">
        <f t="shared" ref="Z26" si="86">Y26*(1+$R$21)</f>
        <v>1864.2017369337191</v>
      </c>
      <c r="AA26" s="6">
        <f t="shared" ref="AA26" si="87">Z26*(1+$R$21)</f>
        <v>1882.8437543030564</v>
      </c>
      <c r="AB26" s="6">
        <f t="shared" ref="AB26" si="88">AA26*(1+$R$21)</f>
        <v>1901.6721918460869</v>
      </c>
      <c r="AC26" s="6">
        <f t="shared" ref="AC26" si="89">AB26*(1+$R$21)</f>
        <v>1920.6889137645478</v>
      </c>
      <c r="AD26" s="6">
        <f t="shared" ref="AD26" si="90">AC26*(1+$R$21)</f>
        <v>1939.8958029021933</v>
      </c>
      <c r="AE26" s="6">
        <f t="shared" ref="AE26" si="91">AD26*(1+$R$21)</f>
        <v>1959.2947609312153</v>
      </c>
      <c r="AF26" s="6">
        <f t="shared" ref="AF26" si="92">AE26*(1+$R$21)</f>
        <v>1978.8877085405275</v>
      </c>
      <c r="AG26" s="6">
        <f t="shared" ref="AG26" si="93">AF26*(1+$R$21)</f>
        <v>1998.6765856259328</v>
      </c>
      <c r="AH26" s="6">
        <f t="shared" ref="AH26" si="94">AG26*(1+$R$21)</f>
        <v>2018.6633514821922</v>
      </c>
      <c r="AI26" s="6">
        <f t="shared" ref="AI26" si="95">AH26*(1+$R$21)</f>
        <v>2038.8499849970142</v>
      </c>
      <c r="AJ26" s="6">
        <f t="shared" ref="AJ26" si="96">AI26*(1+$R$21)</f>
        <v>2059.2384848469842</v>
      </c>
      <c r="AK26" s="6">
        <f t="shared" ref="AK26" si="97">AJ26*(1+$R$21)</f>
        <v>2079.8308696954541</v>
      </c>
      <c r="AL26" s="6">
        <f t="shared" ref="AL26" si="98">AK26*(1+$R$21)</f>
        <v>2100.6291783924084</v>
      </c>
      <c r="AM26" s="6">
        <f t="shared" ref="AM26" si="99">AL26*(1+$R$21)</f>
        <v>2121.6354701763325</v>
      </c>
      <c r="AN26" s="6">
        <f t="shared" ref="AN26" si="100">AM26*(1+$R$21)</f>
        <v>2142.8518248780961</v>
      </c>
      <c r="AO26" s="6">
        <f t="shared" ref="AO26" si="101">AN26*(1+$R$21)</f>
        <v>2164.2803431268771</v>
      </c>
      <c r="AP26" s="6">
        <f t="shared" ref="AP26" si="102">AO26*(1+$R$21)</f>
        <v>2185.9231465581461</v>
      </c>
      <c r="AQ26" s="6">
        <f t="shared" ref="AQ26" si="103">AP26*(1+$R$21)</f>
        <v>2207.7823780237277</v>
      </c>
      <c r="AR26" s="6">
        <f t="shared" ref="AR26" si="104">AQ26*(1+$R$21)</f>
        <v>2229.8602018039651</v>
      </c>
      <c r="AS26" s="6">
        <f t="shared" ref="AS26" si="105">AR26*(1+$R$21)</f>
        <v>2252.1588038220048</v>
      </c>
      <c r="AT26" s="6">
        <f t="shared" ref="AT26" si="106">AS26*(1+$R$21)</f>
        <v>2274.680391860225</v>
      </c>
      <c r="AU26" s="6">
        <f t="shared" ref="AU26" si="107">AT26*(1+$R$21)</f>
        <v>2297.4271957788274</v>
      </c>
      <c r="AV26" s="6">
        <f t="shared" ref="AV26" si="108">AU26*(1+$R$21)</f>
        <v>2320.4014677366158</v>
      </c>
      <c r="AW26" s="6">
        <f t="shared" ref="AW26" si="109">AV26*(1+$R$21)</f>
        <v>2343.6054824139819</v>
      </c>
      <c r="AX26" s="6">
        <f t="shared" ref="AX26" si="110">AW26*(1+$R$21)</f>
        <v>2367.0415372381217</v>
      </c>
      <c r="AY26" s="6">
        <f t="shared" ref="AY26" si="111">AX26*(1+$R$21)</f>
        <v>2390.711952610503</v>
      </c>
      <c r="AZ26" s="6">
        <f t="shared" ref="AZ26" si="112">AY26*(1+$R$21)</f>
        <v>2414.6190721366079</v>
      </c>
      <c r="BA26" s="6">
        <f t="shared" ref="BA26" si="113">AZ26*(1+$R$21)</f>
        <v>2438.765262857974</v>
      </c>
      <c r="BB26" s="6">
        <f t="shared" ref="BB26" si="114">BA26*(1+$R$21)</f>
        <v>2463.1529154865539</v>
      </c>
      <c r="BC26" s="6">
        <f t="shared" ref="BC26" si="115">BB26*(1+$R$21)</f>
        <v>2487.7844446414192</v>
      </c>
      <c r="BD26" s="6">
        <f t="shared" ref="BD26" si="116">BC26*(1+$R$21)</f>
        <v>2512.6622890878334</v>
      </c>
      <c r="BE26" s="6">
        <f t="shared" ref="BE26" si="117">BD26*(1+$R$21)</f>
        <v>2537.7889119787119</v>
      </c>
      <c r="BF26" s="6">
        <f t="shared" ref="BF26" si="118">BE26*(1+$R$21)</f>
        <v>2563.166801098499</v>
      </c>
      <c r="BG26" s="6">
        <f t="shared" ref="BG26" si="119">BF26*(1+$R$21)</f>
        <v>2588.7984691094839</v>
      </c>
      <c r="BH26" s="6">
        <f t="shared" ref="BH26" si="120">BG26*(1+$R$21)</f>
        <v>2614.6864538005789</v>
      </c>
      <c r="BI26" s="6">
        <f t="shared" ref="BI26" si="121">BH26*(1+$R$21)</f>
        <v>2640.8333183385848</v>
      </c>
      <c r="BJ26" s="6">
        <f t="shared" ref="BJ26" si="122">BI26*(1+$R$21)</f>
        <v>2667.2416515219707</v>
      </c>
      <c r="BK26" s="6">
        <f t="shared" ref="BK26" si="123">BJ26*(1+$R$21)</f>
        <v>2693.9140680371902</v>
      </c>
      <c r="BL26" s="6">
        <f t="shared" ref="BL26" si="124">BK26*(1+$R$21)</f>
        <v>2720.8532087175622</v>
      </c>
      <c r="BM26" s="6">
        <f t="shared" ref="BM26" si="125">BL26*(1+$R$21)</f>
        <v>2748.0617408047378</v>
      </c>
      <c r="BN26" s="6">
        <f t="shared" ref="BN26" si="126">BM26*(1+$R$21)</f>
        <v>2775.5423582127851</v>
      </c>
      <c r="BO26" s="6">
        <f t="shared" ref="BO26" si="127">BN26*(1+$R$21)</f>
        <v>2803.2977817949131</v>
      </c>
      <c r="BP26" s="6">
        <f t="shared" ref="BP26" si="128">BO26*(1+$R$21)</f>
        <v>2831.3307596128625</v>
      </c>
      <c r="BQ26" s="6">
        <f t="shared" ref="BQ26" si="129">BP26*(1+$R$21)</f>
        <v>2859.6440672089911</v>
      </c>
      <c r="BR26" s="6">
        <f t="shared" ref="BR26" si="130">BQ26*(1+$R$21)</f>
        <v>2888.2405078810812</v>
      </c>
      <c r="BS26" s="6">
        <f t="shared" ref="BS26" si="131">BR26*(1+$R$21)</f>
        <v>2917.1229129598919</v>
      </c>
      <c r="BT26" s="6">
        <f t="shared" ref="BT26" si="132">BS26*(1+$R$21)</f>
        <v>2946.2941420894908</v>
      </c>
      <c r="BU26" s="6">
        <f t="shared" ref="BU26" si="133">BT26*(1+$R$21)</f>
        <v>2975.7570835103857</v>
      </c>
      <c r="BV26" s="6">
        <f t="shared" ref="BV26" si="134">BU26*(1+$R$21)</f>
        <v>3005.5146543454894</v>
      </c>
      <c r="BW26" s="6">
        <f t="shared" ref="BW26" si="135">BV26*(1+$R$21)</f>
        <v>3035.5698008889444</v>
      </c>
      <c r="BX26" s="6">
        <f t="shared" ref="BX26" si="136">BW26*(1+$R$21)</f>
        <v>3065.9254988978337</v>
      </c>
      <c r="BY26" s="6">
        <f t="shared" ref="BY26" si="137">BX26*(1+$R$21)</f>
        <v>3096.584753886812</v>
      </c>
      <c r="BZ26" s="6">
        <f t="shared" ref="BZ26" si="138">BY26*(1+$R$21)</f>
        <v>3127.5506014256803</v>
      </c>
      <c r="CA26" s="6">
        <f t="shared" ref="CA26" si="139">BZ26*(1+$R$21)</f>
        <v>3158.826107439937</v>
      </c>
      <c r="CB26" s="6">
        <f t="shared" ref="CB26" si="140">CA26*(1+$R$21)</f>
        <v>3190.4143685143363</v>
      </c>
      <c r="CC26" s="6">
        <f t="shared" ref="CC26" si="141">CB26*(1+$R$21)</f>
        <v>3222.3185121994798</v>
      </c>
      <c r="CD26" s="6">
        <f t="shared" ref="CD26" si="142">CC26*(1+$R$21)</f>
        <v>3254.5416973214747</v>
      </c>
      <c r="CE26" s="6">
        <f t="shared" ref="CE26" si="143">CD26*(1+$R$21)</f>
        <v>3287.0871142946894</v>
      </c>
      <c r="CF26" s="6">
        <f t="shared" ref="CF26" si="144">CE26*(1+$R$21)</f>
        <v>3319.9579854376361</v>
      </c>
      <c r="CG26" s="6">
        <f t="shared" ref="CG26" si="145">CF26*(1+$R$21)</f>
        <v>3353.1575652920124</v>
      </c>
      <c r="CH26" s="6">
        <f t="shared" ref="CH26" si="146">CG26*(1+$R$21)</f>
        <v>3386.6891409449327</v>
      </c>
      <c r="CI26" s="6">
        <f t="shared" ref="CI26" si="147">CH26*(1+$R$21)</f>
        <v>3420.5560323543818</v>
      </c>
      <c r="CJ26" s="6">
        <f t="shared" ref="CJ26" si="148">CI26*(1+$R$21)</f>
        <v>3454.7615926779258</v>
      </c>
      <c r="CK26" s="6">
        <f t="shared" ref="CK26" si="149">CJ26*(1+$R$21)</f>
        <v>3489.309208604705</v>
      </c>
      <c r="CL26" s="6">
        <f t="shared" ref="CL26" si="150">CK26*(1+$R$21)</f>
        <v>3524.2023006907521</v>
      </c>
      <c r="CM26" s="6">
        <f t="shared" ref="CM26" si="151">CL26*(1+$R$21)</f>
        <v>3559.4443236976595</v>
      </c>
      <c r="CN26" s="6">
        <f t="shared" ref="CN26" si="152">CM26*(1+$R$21)</f>
        <v>3595.038766934636</v>
      </c>
      <c r="CO26" s="6">
        <f t="shared" ref="CO26" si="153">CN26*(1+$R$21)</f>
        <v>3630.9891546039826</v>
      </c>
      <c r="CP26" s="6">
        <f t="shared" ref="CP26" si="154">CO26*(1+$R$21)</f>
        <v>3667.2990461500226</v>
      </c>
      <c r="CQ26" s="6">
        <f t="shared" ref="CQ26" si="155">CP26*(1+$R$21)</f>
        <v>3703.972036611523</v>
      </c>
      <c r="CR26" s="6">
        <f t="shared" ref="CR26" si="156">CQ26*(1+$R$21)</f>
        <v>3741.0117569776385</v>
      </c>
      <c r="CS26" s="6">
        <f t="shared" ref="CS26" si="157">CR26*(1+$R$21)</f>
        <v>3778.421874547415</v>
      </c>
      <c r="CT26" s="6">
        <f t="shared" ref="CT26" si="158">CS26*(1+$R$21)</f>
        <v>3816.2060932928894</v>
      </c>
      <c r="CU26" s="6">
        <f t="shared" ref="CU26" si="159">CT26*(1+$R$21)</f>
        <v>3854.3681542258182</v>
      </c>
      <c r="CV26" s="6">
        <f t="shared" ref="CV26" si="160">CU26*(1+$R$21)</f>
        <v>3892.9118357680763</v>
      </c>
      <c r="CW26" s="6">
        <f t="shared" ref="CW26" si="161">CV26*(1+$R$21)</f>
        <v>3931.840954125757</v>
      </c>
      <c r="CX26" s="6">
        <f t="shared" ref="CX26" si="162">CW26*(1+$R$21)</f>
        <v>3971.1593636670145</v>
      </c>
      <c r="CY26" s="6">
        <f t="shared" ref="CY26" si="163">CX26*(1+$R$21)</f>
        <v>4010.8709573036849</v>
      </c>
      <c r="CZ26" s="6">
        <f t="shared" ref="CZ26" si="164">CY26*(1+$R$21)</f>
        <v>4050.9796668767217</v>
      </c>
      <c r="DA26" s="6">
        <f t="shared" ref="DA26" si="165">CZ26*(1+$R$21)</f>
        <v>4091.4894635454889</v>
      </c>
      <c r="DB26" s="6">
        <f t="shared" ref="DB26" si="166">DA26*(1+$R$21)</f>
        <v>4132.4043581809437</v>
      </c>
      <c r="DC26" s="6">
        <f t="shared" ref="DC26" si="167">DB26*(1+$R$21)</f>
        <v>4173.7284017627535</v>
      </c>
      <c r="DD26" s="6">
        <f t="shared" ref="DD26" si="168">DC26*(1+$R$21)</f>
        <v>4215.4656857803811</v>
      </c>
      <c r="DE26" s="6">
        <f t="shared" ref="DE26" si="169">DD26*(1+$R$21)</f>
        <v>4257.6203426381853</v>
      </c>
      <c r="DF26" s="6">
        <f t="shared" ref="DF26" si="170">DE26*(1+$R$21)</f>
        <v>4300.196546064567</v>
      </c>
      <c r="DG26" s="6">
        <f t="shared" ref="DG26" si="171">DF26*(1+$R$21)</f>
        <v>4343.1985115252128</v>
      </c>
      <c r="DH26" s="6">
        <f t="shared" ref="DH26" si="172">DG26*(1+$R$21)</f>
        <v>4386.630496640465</v>
      </c>
      <c r="DI26" s="6">
        <f t="shared" ref="DI26" si="173">DH26*(1+$R$21)</f>
        <v>4430.4968016068697</v>
      </c>
      <c r="DJ26" s="6">
        <f t="shared" ref="DJ26" si="174">DI26*(1+$R$21)</f>
        <v>4474.8017696229381</v>
      </c>
      <c r="DK26" s="6">
        <f t="shared" ref="DK26" si="175">DJ26*(1+$R$21)</f>
        <v>4519.5497873191671</v>
      </c>
      <c r="DL26" s="6">
        <f t="shared" ref="DL26" si="176">DK26*(1+$R$21)</f>
        <v>4564.745285192359</v>
      </c>
      <c r="DM26" s="6">
        <f t="shared" ref="DM26" si="177">DL26*(1+$R$21)</f>
        <v>4610.3927380442829</v>
      </c>
      <c r="DN26" s="6">
        <f t="shared" ref="DN26" si="178">DM26*(1+$R$21)</f>
        <v>4656.4966654247255</v>
      </c>
      <c r="DO26" s="6">
        <f t="shared" ref="DO26" si="179">DN26*(1+$R$21)</f>
        <v>4703.0616320789732</v>
      </c>
      <c r="DP26" s="6">
        <f t="shared" ref="DP26" si="180">DO26*(1+$R$21)</f>
        <v>4750.0922483997629</v>
      </c>
      <c r="DQ26" s="6">
        <f t="shared" ref="DQ26" si="181">DP26*(1+$R$21)</f>
        <v>4797.5931708837606</v>
      </c>
      <c r="DR26" s="6">
        <f t="shared" ref="DR26" si="182">DQ26*(1+$R$21)</f>
        <v>4845.569102592598</v>
      </c>
      <c r="DS26" s="6">
        <f t="shared" ref="DS26" si="183">DR26*(1+$R$21)</f>
        <v>4894.0247936185242</v>
      </c>
      <c r="DT26" s="6">
        <f t="shared" ref="DT26" si="184">DS26*(1+$R$21)</f>
        <v>4942.9650415547094</v>
      </c>
      <c r="DU26" s="6">
        <f t="shared" ref="DU26" si="185">DT26*(1+$R$21)</f>
        <v>4992.3946919702566</v>
      </c>
      <c r="DV26" s="6">
        <f t="shared" ref="DV26" si="186">DU26*(1+$R$21)</f>
        <v>5042.3186388899594</v>
      </c>
      <c r="DW26" s="6">
        <f t="shared" ref="DW26" si="187">DV26*(1+$R$21)</f>
        <v>5092.7418252788593</v>
      </c>
      <c r="DX26" s="6">
        <f t="shared" ref="DX26" si="188">DW26*(1+$R$21)</f>
        <v>5143.6692435316481</v>
      </c>
      <c r="DY26" s="6">
        <f t="shared" ref="DY26" si="189">DX26*(1+$R$21)</f>
        <v>5195.1059359669644</v>
      </c>
      <c r="DZ26" s="6">
        <f t="shared" ref="DZ26" si="190">DY26*(1+$R$21)</f>
        <v>5247.056995326634</v>
      </c>
      <c r="EA26" s="6">
        <f t="shared" ref="EA26" si="191">DZ26*(1+$R$21)</f>
        <v>5299.5275652799</v>
      </c>
      <c r="EB26" s="6">
        <f t="shared" ref="EB26" si="192">EA26*(1+$R$21)</f>
        <v>5352.5228409326992</v>
      </c>
      <c r="EC26" s="6">
        <f t="shared" ref="EC26" si="193">EB26*(1+$R$21)</f>
        <v>5406.0480693420259</v>
      </c>
      <c r="ED26" s="6">
        <f t="shared" ref="ED26" si="194">EC26*(1+$R$21)</f>
        <v>5460.1085500354466</v>
      </c>
      <c r="EE26" s="6">
        <f t="shared" ref="EE26" si="195">ED26*(1+$R$21)</f>
        <v>5514.7096355358008</v>
      </c>
      <c r="EF26" s="6">
        <f t="shared" ref="EF26" si="196">EE26*(1+$R$21)</f>
        <v>5569.8567318911591</v>
      </c>
      <c r="EG26" s="6">
        <f t="shared" ref="EG26" si="197">EF26*(1+$R$21)</f>
        <v>5625.5552992100711</v>
      </c>
      <c r="EH26" s="6">
        <f t="shared" ref="EH26" si="198">EG26*(1+$R$21)</f>
        <v>5681.8108522021721</v>
      </c>
      <c r="EI26" s="6">
        <f t="shared" ref="EI26" si="199">EH26*(1+$R$21)</f>
        <v>5738.6289607241943</v>
      </c>
      <c r="EJ26" s="6">
        <f t="shared" ref="EJ26" si="200">EI26*(1+$R$21)</f>
        <v>5796.0152503314366</v>
      </c>
      <c r="EK26" s="6">
        <f t="shared" ref="EK26" si="201">EJ26*(1+$R$21)</f>
        <v>5853.9754028347506</v>
      </c>
      <c r="EL26" s="6">
        <f t="shared" ref="EL26" si="202">EK26*(1+$R$21)</f>
        <v>5912.5151568630981</v>
      </c>
      <c r="EM26" s="6">
        <f t="shared" ref="EM26" si="203">EL26*(1+$R$21)</f>
        <v>5971.640308431729</v>
      </c>
      <c r="EN26" s="6">
        <f t="shared" ref="EN26" si="204">EM26*(1+$R$21)</f>
        <v>6031.3567115160467</v>
      </c>
      <c r="EO26" s="6">
        <f t="shared" ref="EO26" si="205">EN26*(1+$R$21)</f>
        <v>6091.6702786312071</v>
      </c>
      <c r="EP26" s="6">
        <f t="shared" ref="EP26" si="206">EO26*(1+$R$21)</f>
        <v>6152.5869814175194</v>
      </c>
      <c r="EQ26" s="6">
        <f t="shared" ref="EQ26" si="207">EP26*(1+$R$21)</f>
        <v>6214.1128512316945</v>
      </c>
    </row>
    <row r="27" spans="1:147" x14ac:dyDescent="0.25">
      <c r="H27" s="4">
        <f>H25/H24</f>
        <v>0.27292110874200426</v>
      </c>
      <c r="I27" s="4">
        <f>I25/I24</f>
        <v>6.0358890701468187E-2</v>
      </c>
      <c r="J27" s="4">
        <f>J25/J24</f>
        <v>0.22901554404145077</v>
      </c>
      <c r="K27" s="4">
        <v>0.27</v>
      </c>
      <c r="L27" s="4">
        <v>0.27</v>
      </c>
      <c r="M27" s="4">
        <v>0.27</v>
      </c>
      <c r="N27" s="4">
        <v>0.27</v>
      </c>
      <c r="O27" s="4">
        <v>0.27</v>
      </c>
    </row>
    <row r="28" spans="1:147" x14ac:dyDescent="0.25">
      <c r="H28" s="4"/>
      <c r="I28" s="4"/>
      <c r="J28" s="3">
        <f>J26/J14</f>
        <v>1.0969568294409058</v>
      </c>
      <c r="K28" s="3">
        <f t="shared" ref="K28:O28" si="208">K26/K14</f>
        <v>1.1945874066713109</v>
      </c>
      <c r="L28" s="3">
        <f t="shared" si="208"/>
        <v>1.4315517375956655</v>
      </c>
      <c r="M28" s="3">
        <f t="shared" si="208"/>
        <v>1.7155214980238294</v>
      </c>
      <c r="N28" s="3">
        <f t="shared" si="208"/>
        <v>2.0558209199793267</v>
      </c>
      <c r="O28" s="3">
        <f t="shared" si="208"/>
        <v>2.4636238367710259</v>
      </c>
    </row>
    <row r="29" spans="1:147" x14ac:dyDescent="0.25">
      <c r="A29" s="2" t="s">
        <v>38</v>
      </c>
      <c r="J29" s="2">
        <f>J31-J33</f>
        <v>2512.8000000000002</v>
      </c>
      <c r="K29" s="2">
        <f>J29+K13</f>
        <v>2958.0158256750001</v>
      </c>
      <c r="L29" s="2">
        <f t="shared" ref="L29:O29" si="209">K29+L13</f>
        <v>3629.5443951681823</v>
      </c>
      <c r="M29" s="2">
        <f t="shared" si="209"/>
        <v>4578.9467896386504</v>
      </c>
      <c r="N29" s="2">
        <f t="shared" si="209"/>
        <v>5866.8987376576533</v>
      </c>
      <c r="O29" s="2">
        <f t="shared" si="209"/>
        <v>7564.6348935518099</v>
      </c>
    </row>
    <row r="31" spans="1:147" x14ac:dyDescent="0.25">
      <c r="A31" s="2" t="s">
        <v>4</v>
      </c>
      <c r="J31" s="2">
        <f>1136.4+1376.4</f>
        <v>2512.8000000000002</v>
      </c>
    </row>
    <row r="33" spans="1:10" x14ac:dyDescent="0.25">
      <c r="A33" s="2" t="s">
        <v>5</v>
      </c>
      <c r="J33" s="2">
        <v>0</v>
      </c>
    </row>
    <row r="35" spans="1:10" x14ac:dyDescent="0.25">
      <c r="A35" s="2" t="s">
        <v>28</v>
      </c>
      <c r="E35" s="2">
        <v>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2025-02-23T08:30:41Z</dcterms:created>
  <dcterms:modified xsi:type="dcterms:W3CDTF">2025-04-13T02:56:25Z</dcterms:modified>
</cp:coreProperties>
</file>