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3907CF3F-E4C1-49C3-8DBF-F8F625B0239A}" xr6:coauthVersionLast="47" xr6:coauthVersionMax="47" xr10:uidLastSave="{00000000-0000-0000-0000-000000000000}"/>
  <bookViews>
    <workbookView xWindow="1560" yWindow="1395" windowWidth="20745" windowHeight="14085" activeTab="1" xr2:uid="{F0150863-9BAB-4241-B11E-B86F3D4AA8C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5" i="2" l="1"/>
  <c r="S2" i="2"/>
  <c r="T2" i="2"/>
  <c r="R2" i="2"/>
  <c r="P14" i="2"/>
  <c r="P2" i="2" s="1"/>
  <c r="P19" i="2" s="1"/>
  <c r="S10" i="2"/>
  <c r="T10" i="2" s="1"/>
  <c r="R10" i="2"/>
  <c r="Q10" i="2"/>
  <c r="P10" i="2"/>
  <c r="O30" i="2"/>
  <c r="G12" i="1"/>
  <c r="G11" i="1"/>
  <c r="P8" i="2"/>
  <c r="Q8" i="2" s="1"/>
  <c r="R8" i="2" s="1"/>
  <c r="S8" i="2" s="1"/>
  <c r="T8" i="2" s="1"/>
  <c r="P9" i="2"/>
  <c r="Q9" i="2" s="1"/>
  <c r="R9" i="2" s="1"/>
  <c r="S9" i="2" s="1"/>
  <c r="T9" i="2" s="1"/>
  <c r="P3" i="2"/>
  <c r="P22" i="2" s="1"/>
  <c r="P4" i="2"/>
  <c r="Q4" i="2" s="1"/>
  <c r="O16" i="2"/>
  <c r="O17" i="2"/>
  <c r="O13" i="2"/>
  <c r="O6" i="2"/>
  <c r="P6" i="2" s="1"/>
  <c r="Q6" i="2" s="1"/>
  <c r="R6" i="2" s="1"/>
  <c r="S6" i="2" s="1"/>
  <c r="T6" i="2" s="1"/>
  <c r="T20" i="2" s="1"/>
  <c r="K13" i="2"/>
  <c r="K4" i="2"/>
  <c r="K3" i="2"/>
  <c r="K2" i="2"/>
  <c r="O5" i="2"/>
  <c r="F7" i="2"/>
  <c r="K7" i="2" s="1"/>
  <c r="F5" i="2"/>
  <c r="K5" i="2" s="1"/>
  <c r="N1" i="2"/>
  <c r="O1" i="2" s="1"/>
  <c r="P1" i="2" s="1"/>
  <c r="Q1" i="2" s="1"/>
  <c r="R1" i="2" s="1"/>
  <c r="S1" i="2" s="1"/>
  <c r="T1" i="2" s="1"/>
  <c r="G5" i="1"/>
  <c r="G8" i="1" s="1"/>
  <c r="H11" i="1" s="1"/>
  <c r="H10" i="1" l="1"/>
  <c r="H12" i="1"/>
  <c r="Q14" i="2"/>
  <c r="Q2" i="2" s="1"/>
  <c r="Q19" i="2" s="1"/>
  <c r="P23" i="2"/>
  <c r="P5" i="2"/>
  <c r="R4" i="2"/>
  <c r="Q21" i="2"/>
  <c r="Q3" i="2"/>
  <c r="P7" i="2"/>
  <c r="P21" i="2"/>
  <c r="P20" i="2"/>
  <c r="Q20" i="2"/>
  <c r="R20" i="2"/>
  <c r="S20" i="2"/>
  <c r="P29" i="2" l="1"/>
  <c r="P11" i="2"/>
  <c r="P12" i="2" s="1"/>
  <c r="P13" i="2" s="1"/>
  <c r="Q23" i="2"/>
  <c r="R19" i="2"/>
  <c r="Q7" i="2"/>
  <c r="P15" i="2"/>
  <c r="R3" i="2"/>
  <c r="Q22" i="2"/>
  <c r="Q5" i="2"/>
  <c r="S4" i="2"/>
  <c r="R21" i="2"/>
  <c r="R5" i="2"/>
  <c r="Q29" i="2" l="1"/>
  <c r="Q11" i="2"/>
  <c r="Q12" i="2" s="1"/>
  <c r="Q13" i="2" s="1"/>
  <c r="T21" i="2"/>
  <c r="S21" i="2"/>
  <c r="R22" i="2"/>
  <c r="S3" i="2"/>
  <c r="P16" i="2"/>
  <c r="P17" i="2"/>
  <c r="Q15" i="2"/>
  <c r="R23" i="2"/>
  <c r="S19" i="2"/>
  <c r="R7" i="2"/>
  <c r="S5" i="2"/>
  <c r="R29" i="2" l="1"/>
  <c r="R11" i="2"/>
  <c r="R12" i="2" s="1"/>
  <c r="R13" i="2" s="1"/>
  <c r="T22" i="2"/>
  <c r="S22" i="2"/>
  <c r="R15" i="2"/>
  <c r="R17" i="2"/>
  <c r="S23" i="2"/>
  <c r="T19" i="2"/>
  <c r="S7" i="2"/>
  <c r="Q16" i="2"/>
  <c r="Q17" i="2"/>
  <c r="S29" i="2" l="1"/>
  <c r="S11" i="2"/>
  <c r="S12" i="2" s="1"/>
  <c r="S13" i="2" s="1"/>
  <c r="T23" i="2"/>
  <c r="T7" i="2"/>
  <c r="S15" i="2"/>
  <c r="R16" i="2"/>
  <c r="T29" i="2" l="1"/>
  <c r="U29" i="2" s="1"/>
  <c r="V29" i="2" s="1"/>
  <c r="W29" i="2" s="1"/>
  <c r="X29" i="2" s="1"/>
  <c r="Y29" i="2" s="1"/>
  <c r="Z29" i="2" s="1"/>
  <c r="AA29" i="2" s="1"/>
  <c r="AB29" i="2" s="1"/>
  <c r="AC29" i="2" s="1"/>
  <c r="AD29" i="2" s="1"/>
  <c r="AE29" i="2" s="1"/>
  <c r="AF29" i="2" s="1"/>
  <c r="AG29" i="2" s="1"/>
  <c r="AH29" i="2" s="1"/>
  <c r="AI29" i="2" s="1"/>
  <c r="AJ29" i="2" s="1"/>
  <c r="AK29" i="2" s="1"/>
  <c r="AL29" i="2" s="1"/>
  <c r="AM29" i="2" s="1"/>
  <c r="AN29" i="2" s="1"/>
  <c r="AO29" i="2" s="1"/>
  <c r="AP29" i="2" s="1"/>
  <c r="AQ29" i="2" s="1"/>
  <c r="AR29" i="2" s="1"/>
  <c r="AS29" i="2" s="1"/>
  <c r="AT29" i="2" s="1"/>
  <c r="AU29" i="2" s="1"/>
  <c r="AV29" i="2" s="1"/>
  <c r="AW29" i="2" s="1"/>
  <c r="AX29" i="2" s="1"/>
  <c r="AY29" i="2" s="1"/>
  <c r="AZ29" i="2" s="1"/>
  <c r="BA29" i="2" s="1"/>
  <c r="BB29" i="2" s="1"/>
  <c r="BC29" i="2" s="1"/>
  <c r="BD29" i="2" s="1"/>
  <c r="BE29" i="2" s="1"/>
  <c r="BF29" i="2" s="1"/>
  <c r="BG29" i="2" s="1"/>
  <c r="BH29" i="2" s="1"/>
  <c r="BI29" i="2" s="1"/>
  <c r="BJ29" i="2" s="1"/>
  <c r="BK29" i="2" s="1"/>
  <c r="BL29" i="2" s="1"/>
  <c r="BM29" i="2" s="1"/>
  <c r="BN29" i="2" s="1"/>
  <c r="BO29" i="2" s="1"/>
  <c r="BP29" i="2" s="1"/>
  <c r="BQ29" i="2" s="1"/>
  <c r="BR29" i="2" s="1"/>
  <c r="BS29" i="2" s="1"/>
  <c r="BT29" i="2" s="1"/>
  <c r="BU29" i="2" s="1"/>
  <c r="T11" i="2"/>
  <c r="T12" i="2" s="1"/>
  <c r="T13" i="2" s="1"/>
  <c r="S17" i="2"/>
  <c r="S16" i="2"/>
  <c r="T15" i="2"/>
  <c r="T17" i="2"/>
  <c r="U13" i="2"/>
  <c r="V13" i="2" s="1"/>
  <c r="W13" i="2" s="1"/>
  <c r="X13" i="2" s="1"/>
  <c r="Y13" i="2" s="1"/>
  <c r="Z13" i="2" s="1"/>
  <c r="AA13" i="2" s="1"/>
  <c r="AB13" i="2" s="1"/>
  <c r="AC13" i="2" s="1"/>
  <c r="AD13" i="2" s="1"/>
  <c r="AE13" i="2" s="1"/>
  <c r="AF13" i="2" s="1"/>
  <c r="AG13" i="2" s="1"/>
  <c r="AH13" i="2" s="1"/>
  <c r="AI13" i="2" s="1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BD13" i="2" s="1"/>
  <c r="BE13" i="2" s="1"/>
  <c r="BF13" i="2" s="1"/>
  <c r="BG13" i="2" s="1"/>
  <c r="BH13" i="2" s="1"/>
  <c r="BI13" i="2" s="1"/>
  <c r="BJ13" i="2" s="1"/>
  <c r="BK13" i="2" s="1"/>
  <c r="BL13" i="2" s="1"/>
  <c r="BM13" i="2" s="1"/>
  <c r="BN13" i="2" s="1"/>
  <c r="BO13" i="2" s="1"/>
  <c r="BP13" i="2" s="1"/>
  <c r="BQ13" i="2" s="1"/>
  <c r="BR13" i="2" s="1"/>
  <c r="BS13" i="2" s="1"/>
  <c r="BT13" i="2" s="1"/>
  <c r="BU13" i="2" s="1"/>
  <c r="T16" i="2" l="1"/>
  <c r="X26" i="2"/>
  <c r="X27" i="2" s="1"/>
</calcChain>
</file>

<file path=xl/sharedStrings.xml><?xml version="1.0" encoding="utf-8"?>
<sst xmlns="http://schemas.openxmlformats.org/spreadsheetml/2006/main" count="61" uniqueCount="55">
  <si>
    <t>QCOM</t>
  </si>
  <si>
    <t>Price</t>
  </si>
  <si>
    <t>Shares</t>
  </si>
  <si>
    <t>MC</t>
  </si>
  <si>
    <t>Cash</t>
  </si>
  <si>
    <t>Debt</t>
  </si>
  <si>
    <t>EV</t>
  </si>
  <si>
    <t>Q124</t>
  </si>
  <si>
    <t>Q224</t>
  </si>
  <si>
    <t>Q324</t>
  </si>
  <si>
    <t>Q424</t>
  </si>
  <si>
    <t>Q125</t>
  </si>
  <si>
    <t>Revenue</t>
  </si>
  <si>
    <t>Revenue Growth</t>
  </si>
  <si>
    <t>Gross Margin</t>
  </si>
  <si>
    <t>ROIC</t>
  </si>
  <si>
    <t>Maturity</t>
  </si>
  <si>
    <t>Discount</t>
  </si>
  <si>
    <t>NPV</t>
  </si>
  <si>
    <t>Difference</t>
  </si>
  <si>
    <t>Net Income</t>
  </si>
  <si>
    <t>notes:</t>
  </si>
  <si>
    <t>"22b non-handset revenue 2029"</t>
  </si>
  <si>
    <t>IoT</t>
  </si>
  <si>
    <t>Automotive</t>
  </si>
  <si>
    <t>Handsets</t>
  </si>
  <si>
    <t>Non-Handset Revenue</t>
  </si>
  <si>
    <t>Q225</t>
  </si>
  <si>
    <t>Q325</t>
  </si>
  <si>
    <t>Q425</t>
  </si>
  <si>
    <t>"QCT &amp; QTL Revenue"</t>
  </si>
  <si>
    <t>QTL Revenue</t>
  </si>
  <si>
    <t>QTL Revenue Growth</t>
  </si>
  <si>
    <t>IoT Growth</t>
  </si>
  <si>
    <t>Automotive Growth</t>
  </si>
  <si>
    <t>Handset Growth</t>
  </si>
  <si>
    <t>R&amp;D</t>
  </si>
  <si>
    <t>R&amp;D Growth</t>
  </si>
  <si>
    <t>SG&amp;A</t>
  </si>
  <si>
    <t>COGS</t>
  </si>
  <si>
    <t>Taxes</t>
  </si>
  <si>
    <t>Operating Margin</t>
  </si>
  <si>
    <t>IoT main growth driver for stock</t>
  </si>
  <si>
    <t>Apple Revenue</t>
  </si>
  <si>
    <t>Handset Revenue Growth</t>
  </si>
  <si>
    <t xml:space="preserve">"Apple Revenue </t>
  </si>
  <si>
    <t>FCF</t>
  </si>
  <si>
    <t>Run Rate</t>
  </si>
  <si>
    <t>NTM</t>
  </si>
  <si>
    <t>CFFO</t>
  </si>
  <si>
    <t>CX</t>
  </si>
  <si>
    <t>Div Yield</t>
  </si>
  <si>
    <t>FCF Margin</t>
  </si>
  <si>
    <t>Tax Rate</t>
  </si>
  <si>
    <t>Pretax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</si>
</sst>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%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4" fontId="0" fillId="0" borderId="0" xfId="0" applyNumberFormat="1"/>
    <xf numFmtId="0" fontId="1" fillId="0" borderId="0" xfId="0" applyFont="1" applyBorder="1"/>
    <xf numFmtId="0" fontId="0" fillId="0" borderId="0" xfId="0" applyBorder="1"/>
    <xf numFmtId="3" fontId="0" fillId="0" borderId="0" xfId="0" applyNumberFormat="1" applyBorder="1"/>
    <xf numFmtId="3" fontId="1" fillId="0" borderId="0" xfId="0" applyNumberFormat="1" applyFont="1" applyBorder="1"/>
    <xf numFmtId="9" fontId="0" fillId="0" borderId="0" xfId="0" applyNumberFormat="1" applyBorder="1"/>
    <xf numFmtId="9" fontId="1" fillId="0" borderId="0" xfId="0" applyNumberFormat="1" applyFont="1" applyBorder="1"/>
    <xf numFmtId="164" fontId="0" fillId="0" borderId="0" xfId="0" applyNumberFormat="1" applyBorder="1"/>
    <xf numFmtId="38" fontId="0" fillId="0" borderId="0" xfId="0" applyNumberFormat="1" applyBorder="1"/>
    <xf numFmtId="8" fontId="1" fillId="0" borderId="0" xfId="0" applyNumberFormat="1" applyFon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0</xdr:row>
      <xdr:rowOff>28575</xdr:rowOff>
    </xdr:from>
    <xdr:to>
      <xdr:col>6</xdr:col>
      <xdr:colOff>0</xdr:colOff>
      <xdr:row>32</xdr:row>
      <xdr:rowOff>142875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FA2BFAE-3C5F-0721-8AEF-56E1F67E7879}"/>
            </a:ext>
          </a:extLst>
        </xdr:cNvPr>
        <xdr:cNvCxnSpPr/>
      </xdr:nvCxnSpPr>
      <xdr:spPr>
        <a:xfrm flipH="1">
          <a:off x="4562475" y="28575"/>
          <a:ext cx="19050" cy="6210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0</xdr:row>
      <xdr:rowOff>0</xdr:rowOff>
    </xdr:from>
    <xdr:to>
      <xdr:col>15</xdr:col>
      <xdr:colOff>28575</xdr:colOff>
      <xdr:row>32</xdr:row>
      <xdr:rowOff>114300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B063138-9D93-4163-A0CD-A246F87A6469}"/>
            </a:ext>
          </a:extLst>
        </xdr:cNvPr>
        <xdr:cNvCxnSpPr/>
      </xdr:nvCxnSpPr>
      <xdr:spPr>
        <a:xfrm flipH="1">
          <a:off x="10077450" y="0"/>
          <a:ext cx="19050" cy="6210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70CD-939C-4B08-B204-83A62ED4DD08}">
  <dimension ref="A1:H12"/>
  <sheetViews>
    <sheetView zoomScale="235" zoomScaleNormal="235" workbookViewId="0">
      <selection activeCell="G4" sqref="G4"/>
    </sheetView>
  </sheetViews>
  <sheetFormatPr defaultRowHeight="15" x14ac:dyDescent="0.25"/>
  <sheetData>
    <row r="1" spans="1:8" x14ac:dyDescent="0.25">
      <c r="A1" s="1" t="s">
        <v>0</v>
      </c>
    </row>
    <row r="2" spans="1:8" x14ac:dyDescent="0.25">
      <c r="B2" t="s">
        <v>21</v>
      </c>
    </row>
    <row r="3" spans="1:8" x14ac:dyDescent="0.25">
      <c r="B3" t="s">
        <v>22</v>
      </c>
      <c r="F3" t="s">
        <v>1</v>
      </c>
      <c r="G3" s="2">
        <v>137</v>
      </c>
    </row>
    <row r="4" spans="1:8" x14ac:dyDescent="0.25">
      <c r="B4" t="s">
        <v>30</v>
      </c>
      <c r="F4" t="s">
        <v>2</v>
      </c>
      <c r="G4" s="2">
        <v>1110</v>
      </c>
      <c r="H4" t="s">
        <v>11</v>
      </c>
    </row>
    <row r="5" spans="1:8" x14ac:dyDescent="0.25">
      <c r="B5" t="s">
        <v>42</v>
      </c>
      <c r="F5" s="1" t="s">
        <v>3</v>
      </c>
      <c r="G5" s="3">
        <f>G4*G3</f>
        <v>152070</v>
      </c>
    </row>
    <row r="6" spans="1:8" x14ac:dyDescent="0.25">
      <c r="B6" t="s">
        <v>45</v>
      </c>
      <c r="F6" t="s">
        <v>4</v>
      </c>
      <c r="G6" s="2">
        <v>13300</v>
      </c>
      <c r="H6" t="s">
        <v>11</v>
      </c>
    </row>
    <row r="7" spans="1:8" x14ac:dyDescent="0.25">
      <c r="F7" t="s">
        <v>5</v>
      </c>
      <c r="G7" s="2">
        <v>13270</v>
      </c>
      <c r="H7" t="s">
        <v>11</v>
      </c>
    </row>
    <row r="8" spans="1:8" x14ac:dyDescent="0.25">
      <c r="F8" t="s">
        <v>6</v>
      </c>
      <c r="G8" s="2">
        <f>G5+G7-G6</f>
        <v>152040</v>
      </c>
    </row>
    <row r="10" spans="1:8" x14ac:dyDescent="0.25">
      <c r="F10" t="s">
        <v>46</v>
      </c>
      <c r="G10" s="2">
        <v>11171</v>
      </c>
      <c r="H10" s="4">
        <f>$G$8/G10</f>
        <v>13.610240802076806</v>
      </c>
    </row>
    <row r="11" spans="1:8" x14ac:dyDescent="0.25">
      <c r="F11" t="s">
        <v>47</v>
      </c>
      <c r="G11" s="2">
        <f>G10*4</f>
        <v>44684</v>
      </c>
      <c r="H11" s="4">
        <f>$G$8/G11</f>
        <v>3.4025602005192015</v>
      </c>
    </row>
    <row r="12" spans="1:8" x14ac:dyDescent="0.25">
      <c r="F12" t="s">
        <v>48</v>
      </c>
      <c r="G12" s="2">
        <f>G11*1.05</f>
        <v>46918.200000000004</v>
      </c>
      <c r="H12" s="4">
        <f>$G$8/G12</f>
        <v>3.2405335243040012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82C1-C1F3-45BB-93D9-2CE5725D6B0A}">
  <dimension ref="A1:BU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2" sqref="M12"/>
    </sheetView>
  </sheetViews>
  <sheetFormatPr defaultRowHeight="15" x14ac:dyDescent="0.25"/>
  <cols>
    <col min="1" max="1" width="23" style="6" customWidth="1"/>
    <col min="2" max="18" width="9.140625" style="6"/>
    <col min="19" max="19" width="11.85546875" style="6" customWidth="1"/>
    <col min="20" max="22" width="9.140625" style="6"/>
    <col min="23" max="23" width="10.28515625" style="6" customWidth="1"/>
    <col min="24" max="16384" width="9.140625" style="6"/>
  </cols>
  <sheetData>
    <row r="1" spans="1:73" x14ac:dyDescent="0.25">
      <c r="A1" s="5" t="s">
        <v>0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27</v>
      </c>
      <c r="H1" s="6" t="s">
        <v>28</v>
      </c>
      <c r="I1" s="6" t="s">
        <v>29</v>
      </c>
      <c r="K1" s="6">
        <v>2025</v>
      </c>
      <c r="M1" s="6">
        <v>2022</v>
      </c>
      <c r="N1" s="6">
        <f>M1+1</f>
        <v>2023</v>
      </c>
      <c r="O1" s="6">
        <f t="shared" ref="O1:T1" si="0">N1+1</f>
        <v>2024</v>
      </c>
      <c r="P1" s="6">
        <f t="shared" si="0"/>
        <v>2025</v>
      </c>
      <c r="Q1" s="6">
        <f t="shared" si="0"/>
        <v>2026</v>
      </c>
      <c r="R1" s="6">
        <f t="shared" si="0"/>
        <v>2027</v>
      </c>
      <c r="S1" s="6">
        <f t="shared" si="0"/>
        <v>2028</v>
      </c>
      <c r="T1" s="6">
        <f t="shared" si="0"/>
        <v>2029</v>
      </c>
    </row>
    <row r="2" spans="1:73" s="5" customFormat="1" x14ac:dyDescent="0.25">
      <c r="A2" s="7" t="s">
        <v>25</v>
      </c>
      <c r="B2" s="8"/>
      <c r="C2" s="8"/>
      <c r="D2" s="8"/>
      <c r="E2" s="8"/>
      <c r="F2" s="8"/>
      <c r="G2" s="8"/>
      <c r="H2" s="8"/>
      <c r="I2" s="8"/>
      <c r="J2" s="8"/>
      <c r="K2" s="8">
        <f>SUM(F2:I2)</f>
        <v>0</v>
      </c>
      <c r="L2" s="8"/>
      <c r="M2" s="8"/>
      <c r="N2" s="8"/>
      <c r="O2" s="7">
        <v>24863</v>
      </c>
      <c r="P2" s="7">
        <f>(O2*1.1)-(O14-P14)</f>
        <v>21189.300000000003</v>
      </c>
      <c r="Q2" s="7">
        <f>(P2*1.1)-(P14-Q14)</f>
        <v>21768.230000000007</v>
      </c>
      <c r="R2" s="7">
        <f>Q2*1.04</f>
        <v>22638.959200000008</v>
      </c>
      <c r="S2" s="7">
        <f t="shared" ref="S2:T2" si="1">R2*1.04</f>
        <v>23544.51756800001</v>
      </c>
      <c r="T2" s="7">
        <f t="shared" si="1"/>
        <v>24486.29827072001</v>
      </c>
      <c r="U2" s="8"/>
      <c r="V2" s="8"/>
      <c r="W2" s="8"/>
      <c r="X2" s="8"/>
      <c r="Y2" s="8"/>
      <c r="Z2" s="8"/>
      <c r="AA2" s="8"/>
    </row>
    <row r="3" spans="1:73" x14ac:dyDescent="0.25">
      <c r="A3" s="8" t="s">
        <v>23</v>
      </c>
      <c r="B3" s="8"/>
      <c r="C3" s="8"/>
      <c r="D3" s="8"/>
      <c r="E3" s="8"/>
      <c r="F3" s="8">
        <v>1549</v>
      </c>
      <c r="G3" s="8"/>
      <c r="H3" s="8"/>
      <c r="I3" s="8"/>
      <c r="J3" s="8"/>
      <c r="K3" s="8">
        <f>SUM(F3:I3)</f>
        <v>1549</v>
      </c>
      <c r="L3" s="8"/>
      <c r="M3" s="8"/>
      <c r="N3" s="8"/>
      <c r="O3" s="8">
        <v>2910</v>
      </c>
      <c r="P3" s="8">
        <f>O3*1.38</f>
        <v>4015.7999999999997</v>
      </c>
      <c r="Q3" s="8">
        <f>P3*1.38</f>
        <v>5541.8039999999992</v>
      </c>
      <c r="R3" s="8">
        <f>Q3*1.38</f>
        <v>7647.6895199999981</v>
      </c>
      <c r="S3" s="8">
        <f>R3*1.38</f>
        <v>10553.811537599997</v>
      </c>
      <c r="T3" s="8">
        <v>14000</v>
      </c>
      <c r="U3" s="7"/>
      <c r="V3" s="7"/>
      <c r="W3" s="7"/>
      <c r="X3" s="7"/>
      <c r="Y3" s="7"/>
      <c r="Z3" s="7"/>
      <c r="AA3" s="7"/>
    </row>
    <row r="4" spans="1:73" x14ac:dyDescent="0.25">
      <c r="A4" s="7" t="s">
        <v>24</v>
      </c>
      <c r="B4" s="7"/>
      <c r="C4" s="7"/>
      <c r="D4" s="7"/>
      <c r="E4" s="7"/>
      <c r="F4" s="7">
        <v>961</v>
      </c>
      <c r="G4" s="7"/>
      <c r="H4" s="7"/>
      <c r="I4" s="7"/>
      <c r="J4" s="7"/>
      <c r="K4" s="7">
        <f>SUM(F4:I4)</f>
        <v>961</v>
      </c>
      <c r="L4" s="7"/>
      <c r="M4" s="7"/>
      <c r="N4" s="7"/>
      <c r="O4" s="7">
        <v>5423</v>
      </c>
      <c r="P4" s="7">
        <f>O4*1.08</f>
        <v>5856.84</v>
      </c>
      <c r="Q4" s="7">
        <f>P4*1.08</f>
        <v>6325.3872000000001</v>
      </c>
      <c r="R4" s="7">
        <f>Q4*1.08</f>
        <v>6831.4181760000001</v>
      </c>
      <c r="S4" s="7">
        <f>R4*1.08</f>
        <v>7377.931630080001</v>
      </c>
      <c r="T4" s="7">
        <v>8000</v>
      </c>
      <c r="U4" s="7"/>
      <c r="V4" s="7"/>
      <c r="W4" s="7"/>
      <c r="X4" s="7"/>
      <c r="Y4" s="7"/>
      <c r="Z4" s="7"/>
      <c r="AA4" s="7"/>
    </row>
    <row r="5" spans="1:73" x14ac:dyDescent="0.25">
      <c r="A5" s="7" t="s">
        <v>26</v>
      </c>
      <c r="B5" s="7"/>
      <c r="C5" s="7"/>
      <c r="D5" s="7"/>
      <c r="E5" s="7"/>
      <c r="F5" s="7">
        <f>SUM(F3:F4)</f>
        <v>2510</v>
      </c>
      <c r="G5" s="7"/>
      <c r="H5" s="7"/>
      <c r="I5" s="7"/>
      <c r="J5" s="7"/>
      <c r="K5" s="7">
        <f>SUM(F5:I5)</f>
        <v>2510</v>
      </c>
      <c r="L5" s="7"/>
      <c r="M5" s="7"/>
      <c r="N5" s="7"/>
      <c r="O5" s="7">
        <f>SUM(O3:O4)</f>
        <v>8333</v>
      </c>
      <c r="P5" s="7">
        <f>SUM(P3:P4)</f>
        <v>9872.64</v>
      </c>
      <c r="Q5" s="7">
        <f>SUM(Q3:Q4)</f>
        <v>11867.191199999999</v>
      </c>
      <c r="R5" s="7">
        <f>SUM(R3:R4)</f>
        <v>14479.107695999999</v>
      </c>
      <c r="S5" s="7">
        <f>SUM(S3:S4)</f>
        <v>17931.743167679997</v>
      </c>
      <c r="T5" s="7">
        <v>22000</v>
      </c>
      <c r="U5" s="7"/>
      <c r="V5" s="7"/>
      <c r="W5" s="7"/>
      <c r="X5" s="7"/>
      <c r="Y5" s="7"/>
      <c r="Z5" s="7"/>
      <c r="AA5" s="7"/>
    </row>
    <row r="6" spans="1:73" x14ac:dyDescent="0.25">
      <c r="A6" s="7" t="s">
        <v>31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>
        <f>O7-SUM(O2:O4)</f>
        <v>5748</v>
      </c>
      <c r="P6" s="7">
        <f>O6*1.05</f>
        <v>6035.4000000000005</v>
      </c>
      <c r="Q6" s="7">
        <f>P6*1.05</f>
        <v>6337.170000000001</v>
      </c>
      <c r="R6" s="7">
        <f>Q6*1.05</f>
        <v>6654.0285000000013</v>
      </c>
      <c r="S6" s="7">
        <f>R6*1.05</f>
        <v>6986.7299250000015</v>
      </c>
      <c r="T6" s="7">
        <f>S6*1.05</f>
        <v>7336.0664212500014</v>
      </c>
      <c r="U6" s="7"/>
      <c r="V6" s="7"/>
      <c r="W6" s="7"/>
      <c r="X6" s="7"/>
      <c r="Y6" s="7"/>
      <c r="Z6" s="7"/>
      <c r="AA6" s="7"/>
    </row>
    <row r="7" spans="1:73" s="5" customFormat="1" x14ac:dyDescent="0.25">
      <c r="A7" s="8" t="s">
        <v>12</v>
      </c>
      <c r="B7" s="8"/>
      <c r="C7" s="8"/>
      <c r="D7" s="8"/>
      <c r="E7" s="8"/>
      <c r="F7" s="8">
        <f>SUM(F2:F4)</f>
        <v>2510</v>
      </c>
      <c r="G7" s="8"/>
      <c r="H7" s="8"/>
      <c r="I7" s="8"/>
      <c r="J7" s="8"/>
      <c r="K7" s="8">
        <f>SUM(F7:I7)</f>
        <v>2510</v>
      </c>
      <c r="L7" s="8"/>
      <c r="M7" s="8"/>
      <c r="N7" s="8"/>
      <c r="O7" s="8">
        <v>38944</v>
      </c>
      <c r="P7" s="8">
        <f>SUM(P2:P4)+P6</f>
        <v>37097.340000000004</v>
      </c>
      <c r="Q7" s="8">
        <f>SUM(Q2:Q4)+Q6</f>
        <v>39972.591200000003</v>
      </c>
      <c r="R7" s="8">
        <f>SUM(R2:R4)+R6</f>
        <v>43772.095396000004</v>
      </c>
      <c r="S7" s="8">
        <f>SUM(S2:S4)+S6</f>
        <v>48462.990660680007</v>
      </c>
      <c r="T7" s="8">
        <f>SUM(T2:T4)+T6</f>
        <v>53822.364691970011</v>
      </c>
      <c r="U7" s="8"/>
      <c r="V7" s="8"/>
      <c r="W7" s="8"/>
      <c r="X7" s="8"/>
      <c r="Y7" s="8"/>
      <c r="Z7" s="8"/>
      <c r="AA7" s="8"/>
    </row>
    <row r="8" spans="1:73" x14ac:dyDescent="0.25">
      <c r="A8" s="7" t="s">
        <v>36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>
        <v>8893</v>
      </c>
      <c r="P8" s="7">
        <f t="shared" ref="P8:S9" si="2">O8*1.05</f>
        <v>9337.65</v>
      </c>
      <c r="Q8" s="7">
        <f t="shared" si="2"/>
        <v>9804.5324999999993</v>
      </c>
      <c r="R8" s="7">
        <f t="shared" si="2"/>
        <v>10294.759125</v>
      </c>
      <c r="S8" s="7">
        <f t="shared" si="2"/>
        <v>10809.497081250001</v>
      </c>
      <c r="T8" s="7">
        <f>S8*1.02</f>
        <v>11025.687022875001</v>
      </c>
      <c r="U8" s="7"/>
      <c r="V8" s="7"/>
      <c r="W8" s="7"/>
      <c r="X8" s="7"/>
      <c r="Y8" s="7"/>
      <c r="Z8" s="7"/>
      <c r="AA8" s="7"/>
    </row>
    <row r="9" spans="1:73" x14ac:dyDescent="0.25">
      <c r="A9" s="7" t="s">
        <v>38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>
        <v>2759</v>
      </c>
      <c r="P9" s="7">
        <f t="shared" si="2"/>
        <v>2896.9500000000003</v>
      </c>
      <c r="Q9" s="7">
        <f t="shared" si="2"/>
        <v>3041.7975000000006</v>
      </c>
      <c r="R9" s="7">
        <f t="shared" si="2"/>
        <v>3193.8873750000007</v>
      </c>
      <c r="S9" s="7">
        <f t="shared" si="2"/>
        <v>3353.5817437500009</v>
      </c>
      <c r="T9" s="7">
        <f>S9*1.05</f>
        <v>3521.2608309375009</v>
      </c>
      <c r="U9" s="7"/>
      <c r="V9" s="7"/>
      <c r="W9" s="7"/>
      <c r="X9" s="7"/>
      <c r="Y9" s="7"/>
      <c r="Z9" s="7"/>
      <c r="AA9" s="7"/>
    </row>
    <row r="10" spans="1:73" x14ac:dyDescent="0.25">
      <c r="A10" s="7" t="s">
        <v>39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>
        <v>17060</v>
      </c>
      <c r="P10" s="7">
        <f>O10*1.01</f>
        <v>17230.599999999999</v>
      </c>
      <c r="Q10" s="7">
        <f>P10*1.08</f>
        <v>18609.047999999999</v>
      </c>
      <c r="R10" s="7">
        <f>Q10*1.1</f>
        <v>20469.952799999999</v>
      </c>
      <c r="S10" s="7">
        <f t="shared" ref="S10:T10" si="3">R10*1.1</f>
        <v>22516.948080000002</v>
      </c>
      <c r="T10" s="7">
        <f t="shared" si="3"/>
        <v>24768.642888000006</v>
      </c>
      <c r="U10" s="7"/>
      <c r="V10" s="7"/>
      <c r="W10" s="7"/>
      <c r="X10" s="7"/>
      <c r="Y10" s="7"/>
      <c r="Z10" s="7"/>
      <c r="AA10" s="7"/>
    </row>
    <row r="11" spans="1:73" x14ac:dyDescent="0.25">
      <c r="A11" s="7" t="s">
        <v>54</v>
      </c>
      <c r="P11" s="7">
        <f>P7-SUM(P8:P10)</f>
        <v>7632.1400000000067</v>
      </c>
      <c r="Q11" s="7">
        <f t="shared" ref="Q11:T11" si="4">Q7-SUM(Q8:Q10)</f>
        <v>8517.2132000000056</v>
      </c>
      <c r="R11" s="7">
        <f t="shared" si="4"/>
        <v>9813.4960960000026</v>
      </c>
      <c r="S11" s="7">
        <f t="shared" si="4"/>
        <v>11782.963755680001</v>
      </c>
      <c r="T11" s="7">
        <f t="shared" si="4"/>
        <v>14506.773950157505</v>
      </c>
    </row>
    <row r="12" spans="1:73" x14ac:dyDescent="0.25">
      <c r="A12" s="7" t="s">
        <v>40</v>
      </c>
      <c r="O12" s="7">
        <v>-226</v>
      </c>
      <c r="P12" s="7">
        <f>P11*P26</f>
        <v>1602.7494000000013</v>
      </c>
      <c r="Q12" s="7">
        <f t="shared" ref="Q12:T12" si="5">Q11*Q26</f>
        <v>1788.614772000001</v>
      </c>
      <c r="R12" s="7">
        <f t="shared" si="5"/>
        <v>2060.8341801600004</v>
      </c>
      <c r="S12" s="7">
        <f t="shared" si="5"/>
        <v>2474.4223886928003</v>
      </c>
      <c r="T12" s="7">
        <f t="shared" si="5"/>
        <v>3046.4225295330762</v>
      </c>
    </row>
    <row r="13" spans="1:73" s="5" customFormat="1" x14ac:dyDescent="0.25">
      <c r="A13" s="8" t="s">
        <v>20</v>
      </c>
      <c r="B13" s="8"/>
      <c r="C13" s="8"/>
      <c r="D13" s="8"/>
      <c r="E13" s="8"/>
      <c r="F13" s="8"/>
      <c r="G13" s="8"/>
      <c r="H13" s="8"/>
      <c r="I13" s="8"/>
      <c r="J13" s="8"/>
      <c r="K13" s="8">
        <f>SUM(F13:I13)</f>
        <v>0</v>
      </c>
      <c r="L13" s="8"/>
      <c r="M13" s="8"/>
      <c r="N13" s="8"/>
      <c r="O13" s="8">
        <f>O7-SUM(O8:O12)</f>
        <v>10458</v>
      </c>
      <c r="P13" s="8">
        <f>P11-P12</f>
        <v>6029.3906000000052</v>
      </c>
      <c r="Q13" s="8">
        <f t="shared" ref="Q13:T13" si="6">Q11-Q12</f>
        <v>6728.5984280000048</v>
      </c>
      <c r="R13" s="8">
        <f t="shared" si="6"/>
        <v>7752.6619158400026</v>
      </c>
      <c r="S13" s="8">
        <f t="shared" si="6"/>
        <v>9308.5413669871996</v>
      </c>
      <c r="T13" s="8">
        <f t="shared" si="6"/>
        <v>11460.351420624429</v>
      </c>
      <c r="U13" s="8">
        <f t="shared" ref="U13:AZ13" si="7">T13*(1+$X$23)</f>
        <v>11574.954934830674</v>
      </c>
      <c r="V13" s="8">
        <f t="shared" si="7"/>
        <v>11690.704484178981</v>
      </c>
      <c r="W13" s="8">
        <f t="shared" si="7"/>
        <v>11807.611529020771</v>
      </c>
      <c r="X13" s="8">
        <f t="shared" si="7"/>
        <v>11925.68764431098</v>
      </c>
      <c r="Y13" s="8">
        <f t="shared" si="7"/>
        <v>12044.94452075409</v>
      </c>
      <c r="Z13" s="8">
        <f t="shared" si="7"/>
        <v>12165.393965961632</v>
      </c>
      <c r="AA13" s="8">
        <f t="shared" si="7"/>
        <v>12287.047905621248</v>
      </c>
      <c r="AB13" s="5">
        <f t="shared" si="7"/>
        <v>12409.918384677461</v>
      </c>
      <c r="AC13" s="5">
        <f t="shared" si="7"/>
        <v>12534.017568524236</v>
      </c>
      <c r="AD13" s="5">
        <f t="shared" si="7"/>
        <v>12659.357744209477</v>
      </c>
      <c r="AE13" s="5">
        <f t="shared" si="7"/>
        <v>12785.951321651572</v>
      </c>
      <c r="AF13" s="5">
        <f t="shared" si="7"/>
        <v>12913.810834868087</v>
      </c>
      <c r="AG13" s="5">
        <f t="shared" si="7"/>
        <v>13042.948943216768</v>
      </c>
      <c r="AH13" s="5">
        <f t="shared" si="7"/>
        <v>13173.378432648937</v>
      </c>
      <c r="AI13" s="5">
        <f t="shared" si="7"/>
        <v>13305.112216975425</v>
      </c>
      <c r="AJ13" s="5">
        <f t="shared" si="7"/>
        <v>13438.16333914518</v>
      </c>
      <c r="AK13" s="5">
        <f t="shared" si="7"/>
        <v>13572.544972536631</v>
      </c>
      <c r="AL13" s="5">
        <f t="shared" si="7"/>
        <v>13708.270422261998</v>
      </c>
      <c r="AM13" s="5">
        <f t="shared" si="7"/>
        <v>13845.353126484617</v>
      </c>
      <c r="AN13" s="5">
        <f t="shared" si="7"/>
        <v>13983.806657749463</v>
      </c>
      <c r="AO13" s="5">
        <f t="shared" si="7"/>
        <v>14123.644724326958</v>
      </c>
      <c r="AP13" s="5">
        <f t="shared" si="7"/>
        <v>14264.881171570227</v>
      </c>
      <c r="AQ13" s="5">
        <f t="shared" si="7"/>
        <v>14407.529983285929</v>
      </c>
      <c r="AR13" s="5">
        <f t="shared" si="7"/>
        <v>14551.605283118788</v>
      </c>
      <c r="AS13" s="5">
        <f t="shared" si="7"/>
        <v>14697.121335949976</v>
      </c>
      <c r="AT13" s="5">
        <f t="shared" si="7"/>
        <v>14844.092549309476</v>
      </c>
      <c r="AU13" s="5">
        <f t="shared" si="7"/>
        <v>14992.533474802571</v>
      </c>
      <c r="AV13" s="5">
        <f t="shared" si="7"/>
        <v>15142.458809550597</v>
      </c>
      <c r="AW13" s="5">
        <f t="shared" si="7"/>
        <v>15293.883397646103</v>
      </c>
      <c r="AX13" s="5">
        <f t="shared" si="7"/>
        <v>15446.822231622564</v>
      </c>
      <c r="AY13" s="5">
        <f t="shared" si="7"/>
        <v>15601.290453938789</v>
      </c>
      <c r="AZ13" s="5">
        <f t="shared" si="7"/>
        <v>15757.303358478177</v>
      </c>
      <c r="BA13" s="5">
        <f t="shared" ref="BA13:BU13" si="8">AZ13*(1+$X$23)</f>
        <v>15914.876392062959</v>
      </c>
      <c r="BB13" s="5">
        <f t="shared" si="8"/>
        <v>16074.025155983589</v>
      </c>
      <c r="BC13" s="5">
        <f t="shared" si="8"/>
        <v>16234.765407543426</v>
      </c>
      <c r="BD13" s="5">
        <f t="shared" si="8"/>
        <v>16397.11306161886</v>
      </c>
      <c r="BE13" s="5">
        <f t="shared" si="8"/>
        <v>16561.084192235048</v>
      </c>
      <c r="BF13" s="5">
        <f t="shared" si="8"/>
        <v>16726.695034157397</v>
      </c>
      <c r="BG13" s="5">
        <f t="shared" si="8"/>
        <v>16893.961984498972</v>
      </c>
      <c r="BH13" s="5">
        <f t="shared" si="8"/>
        <v>17062.901604343962</v>
      </c>
      <c r="BI13" s="5">
        <f t="shared" si="8"/>
        <v>17233.530620387402</v>
      </c>
      <c r="BJ13" s="5">
        <f t="shared" si="8"/>
        <v>17405.865926591276</v>
      </c>
      <c r="BK13" s="5">
        <f t="shared" si="8"/>
        <v>17579.924585857189</v>
      </c>
      <c r="BL13" s="5">
        <f t="shared" si="8"/>
        <v>17755.723831715761</v>
      </c>
      <c r="BM13" s="5">
        <f t="shared" si="8"/>
        <v>17933.281070032917</v>
      </c>
      <c r="BN13" s="5">
        <f t="shared" si="8"/>
        <v>18112.613880733246</v>
      </c>
      <c r="BO13" s="5">
        <f t="shared" si="8"/>
        <v>18293.740019540579</v>
      </c>
      <c r="BP13" s="5">
        <f t="shared" si="8"/>
        <v>18476.677419735985</v>
      </c>
      <c r="BQ13" s="5">
        <f t="shared" si="8"/>
        <v>18661.444193933345</v>
      </c>
      <c r="BR13" s="5">
        <f t="shared" si="8"/>
        <v>18848.05863587268</v>
      </c>
      <c r="BS13" s="5">
        <f t="shared" si="8"/>
        <v>19036.539222231408</v>
      </c>
      <c r="BT13" s="5">
        <f t="shared" si="8"/>
        <v>19226.904614453721</v>
      </c>
      <c r="BU13" s="5">
        <f t="shared" si="8"/>
        <v>19419.173660598259</v>
      </c>
    </row>
    <row r="14" spans="1:73" x14ac:dyDescent="0.25">
      <c r="A14" s="7" t="s">
        <v>43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>
        <v>7700</v>
      </c>
      <c r="P14" s="7">
        <f>O14*0.2</f>
        <v>1540</v>
      </c>
      <c r="Q14" s="7">
        <f>P14*0</f>
        <v>0</v>
      </c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73" x14ac:dyDescent="0.25">
      <c r="A15" s="6" t="s">
        <v>13</v>
      </c>
      <c r="P15" s="9">
        <f>P7/O7-1</f>
        <v>-4.7418344289235748E-2</v>
      </c>
      <c r="Q15" s="9">
        <f>Q7/P7-1</f>
        <v>7.7505589349532888E-2</v>
      </c>
      <c r="R15" s="9">
        <f>R7/Q7-1</f>
        <v>9.5052736936403592E-2</v>
      </c>
      <c r="S15" s="9">
        <f>S7/R7-1</f>
        <v>0.10716634015900151</v>
      </c>
      <c r="T15" s="9">
        <f>T7/S7-1</f>
        <v>0.11058694393861002</v>
      </c>
    </row>
    <row r="16" spans="1:73" x14ac:dyDescent="0.25">
      <c r="A16" s="6" t="s">
        <v>14</v>
      </c>
      <c r="O16" s="9">
        <f t="shared" ref="O16:T16" si="9">O10/O7</f>
        <v>0.43806491372226786</v>
      </c>
      <c r="P16" s="9">
        <f t="shared" si="9"/>
        <v>0.46446995930166413</v>
      </c>
      <c r="Q16" s="9">
        <f t="shared" si="9"/>
        <v>0.46554520088254869</v>
      </c>
      <c r="R16" s="9">
        <f t="shared" si="9"/>
        <v>0.46764845536434135</v>
      </c>
      <c r="S16" s="9">
        <f t="shared" si="9"/>
        <v>0.46462151371662908</v>
      </c>
      <c r="T16" s="9">
        <f t="shared" si="9"/>
        <v>0.46019239455109534</v>
      </c>
    </row>
    <row r="17" spans="1:73" x14ac:dyDescent="0.25">
      <c r="A17" s="6" t="s">
        <v>41</v>
      </c>
      <c r="O17" s="9">
        <f t="shared" ref="O17:T17" si="10">SUM(O8:O12)/O2-1</f>
        <v>0.14571853758597109</v>
      </c>
      <c r="P17" s="9">
        <f t="shared" si="10"/>
        <v>0.82639772904248843</v>
      </c>
      <c r="Q17" s="9">
        <f t="shared" si="10"/>
        <v>0.918447479285178</v>
      </c>
      <c r="R17" s="9">
        <f t="shared" si="10"/>
        <v>1.0245157549539643</v>
      </c>
      <c r="S17" s="9">
        <f t="shared" si="10"/>
        <v>1.1634511262444902</v>
      </c>
      <c r="T17" s="9">
        <f t="shared" si="10"/>
        <v>1.3224738420141318</v>
      </c>
    </row>
    <row r="19" spans="1:73" x14ac:dyDescent="0.25">
      <c r="A19" s="6" t="s">
        <v>44</v>
      </c>
      <c r="P19" s="9">
        <f>P2/O2-1</f>
        <v>-0.14775771226320222</v>
      </c>
      <c r="Q19" s="9">
        <f>Q2/P2-1</f>
        <v>2.7321808648705037E-2</v>
      </c>
      <c r="R19" s="9">
        <f>R2/Q2-1</f>
        <v>4.0000000000000036E-2</v>
      </c>
      <c r="S19" s="9">
        <f>S2/R2-1</f>
        <v>4.0000000000000036E-2</v>
      </c>
      <c r="T19" s="9">
        <f>T2/S2-1</f>
        <v>4.0000000000000036E-2</v>
      </c>
    </row>
    <row r="20" spans="1:73" x14ac:dyDescent="0.25">
      <c r="A20" s="6" t="s">
        <v>32</v>
      </c>
      <c r="P20" s="9">
        <f>P6/O6-1</f>
        <v>5.0000000000000044E-2</v>
      </c>
      <c r="Q20" s="9">
        <f>Q6/P6-1</f>
        <v>5.0000000000000044E-2</v>
      </c>
      <c r="R20" s="9">
        <f>R6/Q6-1</f>
        <v>5.0000000000000044E-2</v>
      </c>
      <c r="S20" s="9">
        <f>S6/R6-1</f>
        <v>5.0000000000000044E-2</v>
      </c>
      <c r="T20" s="9">
        <f>T6/S6-1</f>
        <v>5.0000000000000044E-2</v>
      </c>
    </row>
    <row r="21" spans="1:73" x14ac:dyDescent="0.25">
      <c r="A21" s="6" t="s">
        <v>34</v>
      </c>
      <c r="N21" s="7"/>
      <c r="O21" s="7"/>
      <c r="P21" s="9">
        <f>P4/O4-1</f>
        <v>8.0000000000000071E-2</v>
      </c>
      <c r="Q21" s="9">
        <f>Q4/P4-1</f>
        <v>8.0000000000000071E-2</v>
      </c>
      <c r="R21" s="9">
        <f>R4/Q4-1</f>
        <v>8.0000000000000071E-2</v>
      </c>
      <c r="S21" s="9">
        <f>S4/R4-1</f>
        <v>8.0000000000000071E-2</v>
      </c>
      <c r="T21" s="9">
        <f>T4/S4-1</f>
        <v>8.4314737667642747E-2</v>
      </c>
      <c r="W21" s="6" t="s">
        <v>51</v>
      </c>
      <c r="X21" s="9">
        <v>0.02</v>
      </c>
    </row>
    <row r="22" spans="1:73" x14ac:dyDescent="0.25">
      <c r="A22" s="5" t="s">
        <v>33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0">
        <f>P3/O3-1</f>
        <v>0.37999999999999989</v>
      </c>
      <c r="Q22" s="10">
        <f>Q3/P3-1</f>
        <v>0.37999999999999989</v>
      </c>
      <c r="R22" s="10">
        <f>R3/Q3-1</f>
        <v>0.37999999999999989</v>
      </c>
      <c r="S22" s="10">
        <f>S3/R3-1</f>
        <v>0.37999999999999989</v>
      </c>
      <c r="T22" s="10">
        <f>T3/S3-1</f>
        <v>0.32653496323316844</v>
      </c>
      <c r="W22" s="6" t="s">
        <v>15</v>
      </c>
      <c r="X22" s="9">
        <v>0.32</v>
      </c>
    </row>
    <row r="23" spans="1:73" x14ac:dyDescent="0.25">
      <c r="A23" s="6" t="s">
        <v>35</v>
      </c>
      <c r="P23" s="9">
        <f>P2/O2-1</f>
        <v>-0.14775771226320222</v>
      </c>
      <c r="Q23" s="9">
        <f>Q2/P2-1</f>
        <v>2.7321808648705037E-2</v>
      </c>
      <c r="R23" s="9">
        <f>R2/Q2-1</f>
        <v>4.0000000000000036E-2</v>
      </c>
      <c r="S23" s="9">
        <f>S2/R2-1</f>
        <v>4.0000000000000036E-2</v>
      </c>
      <c r="T23" s="9">
        <f>T2/S2-1</f>
        <v>4.0000000000000036E-2</v>
      </c>
      <c r="W23" s="6" t="s">
        <v>16</v>
      </c>
      <c r="X23" s="9">
        <v>0.01</v>
      </c>
    </row>
    <row r="24" spans="1:73" x14ac:dyDescent="0.25">
      <c r="W24" s="6" t="s">
        <v>17</v>
      </c>
      <c r="X24" s="11">
        <v>0.08</v>
      </c>
    </row>
    <row r="25" spans="1:73" x14ac:dyDescent="0.25">
      <c r="A25" s="6" t="s">
        <v>37</v>
      </c>
      <c r="P25" s="9">
        <v>0.1</v>
      </c>
      <c r="Q25" s="9">
        <v>0.1</v>
      </c>
      <c r="R25" s="9">
        <v>0.1</v>
      </c>
      <c r="S25" s="9">
        <v>0.1</v>
      </c>
      <c r="T25" s="9">
        <v>0.1</v>
      </c>
      <c r="W25" s="6" t="s">
        <v>18</v>
      </c>
      <c r="X25" s="12">
        <f>NPV(X24,P29:XFD29)+main!G6-main!G7</f>
        <v>199836.72281198169</v>
      </c>
    </row>
    <row r="26" spans="1:73" x14ac:dyDescent="0.25">
      <c r="A26" s="6" t="s">
        <v>53</v>
      </c>
      <c r="P26" s="9">
        <v>0.21</v>
      </c>
      <c r="Q26" s="9">
        <v>0.21</v>
      </c>
      <c r="R26" s="9">
        <v>0.21</v>
      </c>
      <c r="S26" s="9">
        <v>0.21</v>
      </c>
      <c r="T26" s="9">
        <v>0.21</v>
      </c>
      <c r="W26" s="5" t="s">
        <v>1</v>
      </c>
      <c r="X26" s="13">
        <f>X25/main!G4</f>
        <v>180.03308361439792</v>
      </c>
    </row>
    <row r="27" spans="1:73" x14ac:dyDescent="0.25">
      <c r="A27" s="6" t="s">
        <v>49</v>
      </c>
      <c r="W27" s="6" t="s">
        <v>19</v>
      </c>
      <c r="X27" s="14">
        <f>X26/main!G3-1</f>
        <v>0.31411009937516732</v>
      </c>
    </row>
    <row r="28" spans="1:73" x14ac:dyDescent="0.25">
      <c r="A28" s="6" t="s">
        <v>50</v>
      </c>
    </row>
    <row r="29" spans="1:73" x14ac:dyDescent="0.25">
      <c r="A29" s="6" t="s">
        <v>46</v>
      </c>
      <c r="O29" s="7">
        <v>11161</v>
      </c>
      <c r="P29" s="7">
        <f>P30*P7</f>
        <v>10758.2286</v>
      </c>
      <c r="Q29" s="7">
        <f>Q30*Q7</f>
        <v>11592.051448</v>
      </c>
      <c r="R29" s="7">
        <f>R30*R7</f>
        <v>12693.907664840001</v>
      </c>
      <c r="S29" s="7">
        <f>S30*S7</f>
        <v>14054.267291597202</v>
      </c>
      <c r="T29" s="7">
        <f>T30*T7</f>
        <v>15608.485760671303</v>
      </c>
      <c r="U29" s="8">
        <f>T29*(1+$X$23)</f>
        <v>15764.570618278016</v>
      </c>
      <c r="V29" s="8">
        <f t="shared" ref="V29:BU29" si="11">U29*(1+$X$23)</f>
        <v>15922.216324460796</v>
      </c>
      <c r="W29" s="8">
        <f t="shared" si="11"/>
        <v>16081.438487705405</v>
      </c>
      <c r="X29" s="8">
        <f t="shared" si="11"/>
        <v>16242.25287258246</v>
      </c>
      <c r="Y29" s="8">
        <f t="shared" si="11"/>
        <v>16404.675401308283</v>
      </c>
      <c r="Z29" s="8">
        <f t="shared" si="11"/>
        <v>16568.722155321364</v>
      </c>
      <c r="AA29" s="8">
        <f t="shared" si="11"/>
        <v>16734.409376874577</v>
      </c>
      <c r="AB29" s="8">
        <f t="shared" si="11"/>
        <v>16901.753470643322</v>
      </c>
      <c r="AC29" s="8">
        <f t="shared" si="11"/>
        <v>17070.771005349754</v>
      </c>
      <c r="AD29" s="8">
        <f t="shared" si="11"/>
        <v>17241.478715403253</v>
      </c>
      <c r="AE29" s="8">
        <f t="shared" si="11"/>
        <v>17413.893502557286</v>
      </c>
      <c r="AF29" s="8">
        <f t="shared" si="11"/>
        <v>17588.03243758286</v>
      </c>
      <c r="AG29" s="8">
        <f t="shared" si="11"/>
        <v>17763.912761958691</v>
      </c>
      <c r="AH29" s="8">
        <f t="shared" si="11"/>
        <v>17941.551889578277</v>
      </c>
      <c r="AI29" s="8">
        <f t="shared" si="11"/>
        <v>18120.967408474058</v>
      </c>
      <c r="AJ29" s="8">
        <f t="shared" si="11"/>
        <v>18302.177082558799</v>
      </c>
      <c r="AK29" s="8">
        <f t="shared" si="11"/>
        <v>18485.198853384387</v>
      </c>
      <c r="AL29" s="8">
        <f t="shared" si="11"/>
        <v>18670.05084191823</v>
      </c>
      <c r="AM29" s="8">
        <f t="shared" si="11"/>
        <v>18856.751350337414</v>
      </c>
      <c r="AN29" s="8">
        <f t="shared" si="11"/>
        <v>19045.318863840788</v>
      </c>
      <c r="AO29" s="8">
        <f t="shared" si="11"/>
        <v>19235.772052479195</v>
      </c>
      <c r="AP29" s="8">
        <f t="shared" si="11"/>
        <v>19428.129773003988</v>
      </c>
      <c r="AQ29" s="8">
        <f t="shared" si="11"/>
        <v>19622.41107073403</v>
      </c>
      <c r="AR29" s="8">
        <f t="shared" si="11"/>
        <v>19818.635181441368</v>
      </c>
      <c r="AS29" s="8">
        <f t="shared" si="11"/>
        <v>20016.821533255781</v>
      </c>
      <c r="AT29" s="8">
        <f t="shared" si="11"/>
        <v>20216.989748588338</v>
      </c>
      <c r="AU29" s="8">
        <f t="shared" si="11"/>
        <v>20419.159646074222</v>
      </c>
      <c r="AV29" s="8">
        <f t="shared" si="11"/>
        <v>20623.351242534965</v>
      </c>
      <c r="AW29" s="8">
        <f t="shared" si="11"/>
        <v>20829.584754960317</v>
      </c>
      <c r="AX29" s="8">
        <f t="shared" si="11"/>
        <v>21037.880602509918</v>
      </c>
      <c r="AY29" s="8">
        <f t="shared" si="11"/>
        <v>21248.259408535017</v>
      </c>
      <c r="AZ29" s="8">
        <f t="shared" si="11"/>
        <v>21460.742002620369</v>
      </c>
      <c r="BA29" s="8">
        <f t="shared" si="11"/>
        <v>21675.349422646574</v>
      </c>
      <c r="BB29" s="8">
        <f t="shared" si="11"/>
        <v>21892.102916873038</v>
      </c>
      <c r="BC29" s="8">
        <f t="shared" si="11"/>
        <v>22111.023946041769</v>
      </c>
      <c r="BD29" s="8">
        <f t="shared" si="11"/>
        <v>22332.134185502186</v>
      </c>
      <c r="BE29" s="8">
        <f t="shared" si="11"/>
        <v>22555.455527357208</v>
      </c>
      <c r="BF29" s="8">
        <f t="shared" si="11"/>
        <v>22781.010082630779</v>
      </c>
      <c r="BG29" s="8">
        <f t="shared" si="11"/>
        <v>23008.820183457086</v>
      </c>
      <c r="BH29" s="8">
        <f t="shared" si="11"/>
        <v>23238.908385291659</v>
      </c>
      <c r="BI29" s="8">
        <f t="shared" si="11"/>
        <v>23471.297469144574</v>
      </c>
      <c r="BJ29" s="8">
        <f t="shared" si="11"/>
        <v>23706.010443836021</v>
      </c>
      <c r="BK29" s="8">
        <f t="shared" si="11"/>
        <v>23943.070548274383</v>
      </c>
      <c r="BL29" s="8">
        <f t="shared" si="11"/>
        <v>24182.501253757127</v>
      </c>
      <c r="BM29" s="8">
        <f t="shared" si="11"/>
        <v>24424.326266294698</v>
      </c>
      <c r="BN29" s="8">
        <f t="shared" si="11"/>
        <v>24668.569528957647</v>
      </c>
      <c r="BO29" s="8">
        <f t="shared" si="11"/>
        <v>24915.255224247223</v>
      </c>
      <c r="BP29" s="8">
        <f t="shared" si="11"/>
        <v>25164.407776489694</v>
      </c>
      <c r="BQ29" s="8">
        <f t="shared" si="11"/>
        <v>25416.051854254591</v>
      </c>
      <c r="BR29" s="8">
        <f t="shared" si="11"/>
        <v>25670.212372797138</v>
      </c>
      <c r="BS29" s="8">
        <f t="shared" si="11"/>
        <v>25926.914496525111</v>
      </c>
      <c r="BT29" s="8">
        <f t="shared" si="11"/>
        <v>26186.183641490363</v>
      </c>
      <c r="BU29" s="8">
        <f t="shared" si="11"/>
        <v>26448.045477905267</v>
      </c>
    </row>
    <row r="30" spans="1:73" x14ac:dyDescent="0.25">
      <c r="A30" s="6" t="s">
        <v>52</v>
      </c>
      <c r="O30" s="9">
        <f>O29/O7</f>
        <v>0.28659100246507807</v>
      </c>
      <c r="P30" s="9">
        <v>0.28999999999999998</v>
      </c>
      <c r="Q30" s="9">
        <v>0.28999999999999998</v>
      </c>
      <c r="R30" s="9">
        <v>0.28999999999999998</v>
      </c>
      <c r="S30" s="9">
        <v>0.28999999999999998</v>
      </c>
      <c r="T30" s="9">
        <v>0.28999999999999998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Render Flores</cp:lastModifiedBy>
  <dcterms:created xsi:type="dcterms:W3CDTF">2025-02-05T09:31:01Z</dcterms:created>
  <dcterms:modified xsi:type="dcterms:W3CDTF">2025-04-22T22:43:20Z</dcterms:modified>
</cp:coreProperties>
</file>