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480FB152-B02A-42EA-A788-69DB4F9CBEB3}" xr6:coauthVersionLast="47" xr6:coauthVersionMax="47" xr10:uidLastSave="{00000000-0000-0000-0000-000000000000}"/>
  <bookViews>
    <workbookView xWindow="-105" yWindow="0" windowWidth="14610" windowHeight="16305" activeTab="1" xr2:uid="{AC5CAB28-9A24-4953-8C83-84A4698121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P34" i="2"/>
  <c r="Q34" i="2"/>
  <c r="R34" i="2"/>
  <c r="S34" i="2"/>
  <c r="T34" i="2"/>
  <c r="U34" i="2"/>
  <c r="V34" i="2"/>
  <c r="W34" i="2"/>
  <c r="X34" i="2"/>
  <c r="Y34" i="2"/>
  <c r="Z34" i="2"/>
  <c r="AA34" i="2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O34" i="2"/>
  <c r="E34" i="2"/>
  <c r="F34" i="2"/>
  <c r="G34" i="2"/>
  <c r="H34" i="2"/>
  <c r="I34" i="2"/>
  <c r="J34" i="2"/>
  <c r="K34" i="2"/>
  <c r="L34" i="2"/>
  <c r="M34" i="2"/>
  <c r="N34" i="2"/>
  <c r="F32" i="2"/>
  <c r="G32" i="2"/>
  <c r="H32" i="2"/>
  <c r="I32" i="2" s="1"/>
  <c r="J32" i="2" s="1"/>
  <c r="K32" i="2" s="1"/>
  <c r="L32" i="2" s="1"/>
  <c r="M32" i="2" s="1"/>
  <c r="N32" i="2" s="1"/>
  <c r="E32" i="2"/>
  <c r="F33" i="2"/>
  <c r="G33" i="2"/>
  <c r="H33" i="2" s="1"/>
  <c r="I33" i="2" s="1"/>
  <c r="J33" i="2" s="1"/>
  <c r="K33" i="2" s="1"/>
  <c r="L33" i="2" s="1"/>
  <c r="M33" i="2" s="1"/>
  <c r="N33" i="2" s="1"/>
  <c r="E33" i="2"/>
  <c r="C34" i="2"/>
  <c r="D34" i="2"/>
  <c r="B34" i="2"/>
  <c r="F9" i="2"/>
  <c r="G9" i="2"/>
  <c r="H9" i="2"/>
  <c r="I9" i="2" s="1"/>
  <c r="E9" i="2"/>
  <c r="F30" i="2"/>
  <c r="G30" i="2" s="1"/>
  <c r="H30" i="2" s="1"/>
  <c r="I30" i="2" s="1"/>
  <c r="J30" i="2" s="1"/>
  <c r="K30" i="2" s="1"/>
  <c r="L30" i="2" s="1"/>
  <c r="M30" i="2" s="1"/>
  <c r="N30" i="2" s="1"/>
  <c r="E30" i="2"/>
  <c r="J18" i="2"/>
  <c r="K18" i="2" s="1"/>
  <c r="L18" i="2" s="1"/>
  <c r="M18" i="2" s="1"/>
  <c r="N18" i="2" s="1"/>
  <c r="J1" i="2"/>
  <c r="K1" i="2"/>
  <c r="L1" i="2"/>
  <c r="M1" i="2" s="1"/>
  <c r="N1" i="2" s="1"/>
  <c r="E12" i="2"/>
  <c r="E20" i="2"/>
  <c r="C28" i="2"/>
  <c r="D28" i="2"/>
  <c r="B28" i="2"/>
  <c r="D36" i="2"/>
  <c r="D40" i="2"/>
  <c r="D38" i="2"/>
  <c r="F18" i="2"/>
  <c r="G18" i="2"/>
  <c r="H18" i="2"/>
  <c r="I18" i="2"/>
  <c r="E18" i="2"/>
  <c r="E27" i="2"/>
  <c r="E16" i="2" s="1"/>
  <c r="D27" i="2"/>
  <c r="C27" i="2"/>
  <c r="D20" i="2"/>
  <c r="C20" i="2"/>
  <c r="B20" i="2"/>
  <c r="C21" i="2"/>
  <c r="C23" i="2" s="1"/>
  <c r="C25" i="2" s="1"/>
  <c r="D21" i="2"/>
  <c r="D23" i="2" s="1"/>
  <c r="D25" i="2" s="1"/>
  <c r="C17" i="2"/>
  <c r="D17" i="2"/>
  <c r="C19" i="2"/>
  <c r="D19" i="2"/>
  <c r="B19" i="2"/>
  <c r="B21" i="2" s="1"/>
  <c r="B23" i="2" s="1"/>
  <c r="B25" i="2" s="1"/>
  <c r="B17" i="2"/>
  <c r="C30" i="2"/>
  <c r="D30" i="2"/>
  <c r="B30" i="2"/>
  <c r="C13" i="2"/>
  <c r="D13" i="2"/>
  <c r="B13" i="2"/>
  <c r="C9" i="2"/>
  <c r="D9" i="2"/>
  <c r="C12" i="2"/>
  <c r="D12" i="2"/>
  <c r="B12" i="2"/>
  <c r="B9" i="2"/>
  <c r="C1" i="2"/>
  <c r="D1" i="2" s="1"/>
  <c r="E1" i="2" s="1"/>
  <c r="F1" i="2" s="1"/>
  <c r="G1" i="2" s="1"/>
  <c r="H1" i="2" s="1"/>
  <c r="I1" i="2" s="1"/>
  <c r="F7" i="1"/>
  <c r="E7" i="1"/>
  <c r="E6" i="1"/>
  <c r="E5" i="1"/>
  <c r="E4" i="1"/>
  <c r="J9" i="2" l="1"/>
  <c r="K9" i="2" s="1"/>
  <c r="K27" i="2"/>
  <c r="L9" i="2"/>
  <c r="K12" i="2"/>
  <c r="K13" i="2" s="1"/>
  <c r="J12" i="2"/>
  <c r="J13" i="2" s="1"/>
  <c r="J27" i="2"/>
  <c r="E14" i="2"/>
  <c r="F12" i="2"/>
  <c r="F13" i="2" s="1"/>
  <c r="E15" i="2"/>
  <c r="E17" i="2" s="1"/>
  <c r="G12" i="2"/>
  <c r="H12" i="2"/>
  <c r="G27" i="2"/>
  <c r="G13" i="2"/>
  <c r="E13" i="2"/>
  <c r="F27" i="2"/>
  <c r="F16" i="2" s="1"/>
  <c r="E19" i="2" l="1"/>
  <c r="E21" i="2" s="1"/>
  <c r="M9" i="2"/>
  <c r="L12" i="2"/>
  <c r="L13" i="2" s="1"/>
  <c r="L27" i="2"/>
  <c r="G16" i="2"/>
  <c r="F14" i="2"/>
  <c r="G14" i="2" s="1"/>
  <c r="F15" i="2"/>
  <c r="G15" i="2" s="1"/>
  <c r="E22" i="2"/>
  <c r="E23" i="2" s="1"/>
  <c r="I12" i="2"/>
  <c r="H27" i="2"/>
  <c r="H13" i="2"/>
  <c r="M27" i="2" l="1"/>
  <c r="N9" i="2"/>
  <c r="M12" i="2"/>
  <c r="M13" i="2" s="1"/>
  <c r="H15" i="2"/>
  <c r="H14" i="2"/>
  <c r="G17" i="2"/>
  <c r="G19" i="2" s="1"/>
  <c r="H16" i="2"/>
  <c r="F17" i="2"/>
  <c r="F19" i="2" s="1"/>
  <c r="E25" i="2"/>
  <c r="E36" i="2"/>
  <c r="I27" i="2"/>
  <c r="I13" i="2"/>
  <c r="N12" i="2" l="1"/>
  <c r="N13" i="2" s="1"/>
  <c r="N27" i="2"/>
  <c r="F20" i="2"/>
  <c r="F21" i="2"/>
  <c r="F22" i="2" s="1"/>
  <c r="F23" i="2" s="1"/>
  <c r="F25" i="2" s="1"/>
  <c r="I16" i="2"/>
  <c r="J16" i="2" s="1"/>
  <c r="K16" i="2" s="1"/>
  <c r="L16" i="2" s="1"/>
  <c r="M16" i="2" s="1"/>
  <c r="I14" i="2"/>
  <c r="J14" i="2" s="1"/>
  <c r="H17" i="2"/>
  <c r="H19" i="2" s="1"/>
  <c r="I15" i="2"/>
  <c r="J15" i="2" s="1"/>
  <c r="K15" i="2" s="1"/>
  <c r="L15" i="2" s="1"/>
  <c r="M15" i="2" s="1"/>
  <c r="J17" i="2" l="1"/>
  <c r="J19" i="2" s="1"/>
  <c r="K14" i="2"/>
  <c r="N16" i="2"/>
  <c r="N15" i="2"/>
  <c r="I17" i="2"/>
  <c r="I19" i="2" s="1"/>
  <c r="F36" i="2"/>
  <c r="L14" i="2" l="1"/>
  <c r="K17" i="2"/>
  <c r="K19" i="2" s="1"/>
  <c r="G20" i="2"/>
  <c r="G21" i="2" s="1"/>
  <c r="G22" i="2" s="1"/>
  <c r="G23" i="2" s="1"/>
  <c r="L17" i="2" l="1"/>
  <c r="L19" i="2" s="1"/>
  <c r="M14" i="2"/>
  <c r="G25" i="2"/>
  <c r="G36" i="2"/>
  <c r="M17" i="2" l="1"/>
  <c r="M19" i="2" s="1"/>
  <c r="N14" i="2"/>
  <c r="N17" i="2" s="1"/>
  <c r="N19" i="2" s="1"/>
  <c r="H20" i="2"/>
  <c r="H21" i="2" s="1"/>
  <c r="H22" i="2" s="1"/>
  <c r="H23" i="2" s="1"/>
  <c r="H36" i="2" s="1"/>
  <c r="I20" i="2" l="1"/>
  <c r="I21" i="2" s="1"/>
  <c r="I22" i="2" s="1"/>
  <c r="I23" i="2" s="1"/>
  <c r="I25" i="2" s="1"/>
  <c r="I36" i="2"/>
  <c r="H25" i="2"/>
  <c r="J20" i="2" l="1"/>
  <c r="J21" i="2" s="1"/>
  <c r="J22" i="2" s="1"/>
  <c r="J23" i="2" s="1"/>
  <c r="J25" i="2" s="1"/>
  <c r="J36" i="2" l="1"/>
  <c r="K20" i="2"/>
  <c r="K21" i="2" s="1"/>
  <c r="K22" i="2" s="1"/>
  <c r="K23" i="2" s="1"/>
  <c r="K25" i="2" s="1"/>
  <c r="K36" i="2" l="1"/>
  <c r="L20" i="2"/>
  <c r="L21" i="2" s="1"/>
  <c r="L22" i="2" s="1"/>
  <c r="L23" i="2" s="1"/>
  <c r="L25" i="2" s="1"/>
  <c r="L36" i="2" l="1"/>
  <c r="M20" i="2" s="1"/>
  <c r="M21" i="2" s="1"/>
  <c r="M22" i="2"/>
  <c r="M23" i="2" s="1"/>
  <c r="M25" i="2" l="1"/>
  <c r="M36" i="2"/>
  <c r="N20" i="2" s="1"/>
  <c r="N21" i="2" l="1"/>
  <c r="N22" i="2" l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N25" i="2" l="1"/>
  <c r="Q20" i="2"/>
  <c r="Q21" i="2" s="1"/>
  <c r="N36" i="2"/>
</calcChain>
</file>

<file path=xl/sharedStrings.xml><?xml version="1.0" encoding="utf-8"?>
<sst xmlns="http://schemas.openxmlformats.org/spreadsheetml/2006/main" count="46" uniqueCount="41">
  <si>
    <t>SBUX</t>
  </si>
  <si>
    <t>Price</t>
  </si>
  <si>
    <t>Shares</t>
  </si>
  <si>
    <t>MC</t>
  </si>
  <si>
    <t>Cash</t>
  </si>
  <si>
    <t>Debt</t>
  </si>
  <si>
    <t>EV</t>
  </si>
  <si>
    <t>Company Stores</t>
  </si>
  <si>
    <t>Licensed Stores</t>
  </si>
  <si>
    <t>Other</t>
  </si>
  <si>
    <t>Revenue</t>
  </si>
  <si>
    <t>Product &amp; Distribution</t>
  </si>
  <si>
    <t>Store OPEX</t>
  </si>
  <si>
    <t>D&amp;A</t>
  </si>
  <si>
    <t>G&amp;A</t>
  </si>
  <si>
    <t>OPEX</t>
  </si>
  <si>
    <t>Operating Income</t>
  </si>
  <si>
    <t>Gross Profit</t>
  </si>
  <si>
    <t>COGS</t>
  </si>
  <si>
    <t>Income From Equity</t>
  </si>
  <si>
    <t>Interest</t>
  </si>
  <si>
    <t>Pretax Income</t>
  </si>
  <si>
    <t>Tax</t>
  </si>
  <si>
    <t>Net Income</t>
  </si>
  <si>
    <t>EPS</t>
  </si>
  <si>
    <t>Revenue Growth</t>
  </si>
  <si>
    <t>Tax Rate</t>
  </si>
  <si>
    <t>Gross Margin</t>
  </si>
  <si>
    <t>CFFO</t>
  </si>
  <si>
    <t>CX</t>
  </si>
  <si>
    <t>FCF</t>
  </si>
  <si>
    <t>Net Cash</t>
  </si>
  <si>
    <t>China Revenue</t>
  </si>
  <si>
    <t>USA Revenue</t>
  </si>
  <si>
    <t>Europe Revenue</t>
  </si>
  <si>
    <t>ROIC</t>
  </si>
  <si>
    <t>Maturity</t>
  </si>
  <si>
    <t>Discount</t>
  </si>
  <si>
    <t>NPV</t>
  </si>
  <si>
    <t>Diff</t>
  </si>
  <si>
    <t>Cost of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</si>
</sst>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3" fontId="0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28575</xdr:colOff>
      <xdr:row>41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D384C3-D629-AC71-80BC-8C2CA7686193}"/>
            </a:ext>
          </a:extLst>
        </xdr:cNvPr>
        <xdr:cNvCxnSpPr/>
      </xdr:nvCxnSpPr>
      <xdr:spPr>
        <a:xfrm flipH="1">
          <a:off x="3171825" y="19050"/>
          <a:ext cx="28575" cy="7096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82F-E6B5-4967-9D52-4225DADE4714}">
  <dimension ref="B1:F7"/>
  <sheetViews>
    <sheetView topLeftCell="B1" zoomScale="250" zoomScaleNormal="250" workbookViewId="0">
      <selection activeCell="E6" sqref="E6"/>
    </sheetView>
  </sheetViews>
  <sheetFormatPr defaultRowHeight="15" x14ac:dyDescent="0.25"/>
  <sheetData>
    <row r="1" spans="2:6" x14ac:dyDescent="0.25">
      <c r="B1" s="1" t="s">
        <v>0</v>
      </c>
    </row>
    <row r="2" spans="2:6" x14ac:dyDescent="0.25">
      <c r="D2" t="s">
        <v>1</v>
      </c>
      <c r="E2">
        <v>81.5</v>
      </c>
    </row>
    <row r="3" spans="2:6" x14ac:dyDescent="0.25">
      <c r="D3" t="s">
        <v>2</v>
      </c>
      <c r="E3">
        <v>1136</v>
      </c>
    </row>
    <row r="4" spans="2:6" x14ac:dyDescent="0.25">
      <c r="D4" t="s">
        <v>3</v>
      </c>
      <c r="E4">
        <f>E3*E2</f>
        <v>92584</v>
      </c>
    </row>
    <row r="5" spans="2:6" x14ac:dyDescent="0.25">
      <c r="D5" t="s">
        <v>4</v>
      </c>
      <c r="E5">
        <f>3671+286</f>
        <v>3957</v>
      </c>
    </row>
    <row r="6" spans="2:6" x14ac:dyDescent="0.25">
      <c r="D6" t="s">
        <v>5</v>
      </c>
      <c r="E6">
        <f>14312+5941+8857+522</f>
        <v>29632</v>
      </c>
    </row>
    <row r="7" spans="2:6" x14ac:dyDescent="0.25">
      <c r="D7" t="s">
        <v>6</v>
      </c>
      <c r="E7">
        <f>E4+E6-E5</f>
        <v>118259</v>
      </c>
      <c r="F7">
        <f>E7/E3</f>
        <v>104.10123239436619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B5EC-B242-4621-B3D2-D91A53852D51}">
  <dimension ref="A1:DC40"/>
  <sheetViews>
    <sheetView tabSelected="1" workbookViewId="0">
      <pane xSplit="1" ySplit="1" topLeftCell="C6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5" x14ac:dyDescent="0.25"/>
  <cols>
    <col min="1" max="1" width="20.140625" style="2" customWidth="1"/>
    <col min="2" max="16384" width="9.140625" style="2"/>
  </cols>
  <sheetData>
    <row r="1" spans="1:17" x14ac:dyDescent="0.25">
      <c r="B1" s="4">
        <v>2022</v>
      </c>
      <c r="C1" s="4">
        <f>B1+1</f>
        <v>2023</v>
      </c>
      <c r="D1" s="4">
        <f>C1+1</f>
        <v>2024</v>
      </c>
      <c r="E1" s="4">
        <f t="shared" ref="E1:N1" si="0">D1+1</f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si="0"/>
        <v>2030</v>
      </c>
      <c r="K1" s="4">
        <f t="shared" si="0"/>
        <v>2031</v>
      </c>
      <c r="L1" s="4">
        <f t="shared" si="0"/>
        <v>2032</v>
      </c>
      <c r="M1" s="4">
        <f t="shared" si="0"/>
        <v>2033</v>
      </c>
      <c r="N1" s="4">
        <f t="shared" si="0"/>
        <v>2034</v>
      </c>
    </row>
    <row r="2" spans="1:17" x14ac:dyDescent="0.25">
      <c r="A2" s="2" t="s">
        <v>32</v>
      </c>
    </row>
    <row r="3" spans="1:17" x14ac:dyDescent="0.25">
      <c r="A3" s="2" t="s">
        <v>33</v>
      </c>
    </row>
    <row r="4" spans="1:17" x14ac:dyDescent="0.25">
      <c r="A4" s="2" t="s">
        <v>34</v>
      </c>
    </row>
    <row r="6" spans="1:17" x14ac:dyDescent="0.25">
      <c r="A6" s="2" t="s">
        <v>7</v>
      </c>
      <c r="B6" s="2">
        <v>26575</v>
      </c>
      <c r="C6" s="2">
        <v>29462</v>
      </c>
      <c r="D6" s="2">
        <v>29766</v>
      </c>
    </row>
    <row r="7" spans="1:17" x14ac:dyDescent="0.25">
      <c r="A7" s="2" t="s">
        <v>8</v>
      </c>
      <c r="B7" s="2">
        <v>3655</v>
      </c>
      <c r="C7" s="2">
        <v>4513</v>
      </c>
      <c r="D7" s="2">
        <v>4505</v>
      </c>
    </row>
    <row r="8" spans="1:17" x14ac:dyDescent="0.25">
      <c r="A8" s="2" t="s">
        <v>9</v>
      </c>
      <c r="B8" s="2">
        <v>2019</v>
      </c>
      <c r="C8" s="2">
        <v>2001</v>
      </c>
      <c r="D8" s="2">
        <v>1905</v>
      </c>
    </row>
    <row r="9" spans="1:17" s="3" customFormat="1" x14ac:dyDescent="0.25">
      <c r="A9" s="3" t="s">
        <v>10</v>
      </c>
      <c r="B9" s="3">
        <f>SUM(B6:B8)</f>
        <v>32249</v>
      </c>
      <c r="C9" s="3">
        <f t="shared" ref="C9:I9" si="1">SUM(C6:C8)</f>
        <v>35976</v>
      </c>
      <c r="D9" s="3">
        <f t="shared" si="1"/>
        <v>36176</v>
      </c>
      <c r="E9" s="3">
        <f>D9*1.065</f>
        <v>38527.439999999995</v>
      </c>
      <c r="F9" s="3">
        <f t="shared" ref="F9:I9" si="2">E9*1.065</f>
        <v>41031.72359999999</v>
      </c>
      <c r="G9" s="3">
        <f t="shared" si="2"/>
        <v>43698.785633999985</v>
      </c>
      <c r="H9" s="3">
        <f t="shared" si="2"/>
        <v>46539.206700209979</v>
      </c>
      <c r="I9" s="3">
        <f t="shared" si="2"/>
        <v>49564.255135723623</v>
      </c>
      <c r="J9" s="3">
        <f t="shared" ref="J9:N9" si="3">I9*1.04</f>
        <v>51546.825341152566</v>
      </c>
      <c r="K9" s="3">
        <f t="shared" si="3"/>
        <v>53608.698354798667</v>
      </c>
      <c r="L9" s="3">
        <f t="shared" si="3"/>
        <v>55753.046288990619</v>
      </c>
      <c r="M9" s="3">
        <f t="shared" si="3"/>
        <v>57983.168140550246</v>
      </c>
      <c r="N9" s="3">
        <f t="shared" si="3"/>
        <v>60302.494866172259</v>
      </c>
    </row>
    <row r="10" spans="1:17" x14ac:dyDescent="0.25">
      <c r="A10" s="2" t="s">
        <v>11</v>
      </c>
      <c r="B10" s="2">
        <v>10317</v>
      </c>
      <c r="C10" s="2">
        <v>11409</v>
      </c>
      <c r="D10" s="2">
        <v>11181</v>
      </c>
    </row>
    <row r="11" spans="1:17" x14ac:dyDescent="0.25">
      <c r="A11" s="2" t="s">
        <v>12</v>
      </c>
      <c r="B11" s="2">
        <v>13562</v>
      </c>
      <c r="C11" s="2">
        <v>14720</v>
      </c>
      <c r="D11" s="2">
        <v>15286</v>
      </c>
    </row>
    <row r="12" spans="1:17" x14ac:dyDescent="0.25">
      <c r="A12" s="2" t="s">
        <v>18</v>
      </c>
      <c r="B12" s="2">
        <f>SUM(B10:B11)</f>
        <v>23879</v>
      </c>
      <c r="C12" s="2">
        <f t="shared" ref="C12:I12" si="4">SUM(C10:C11)</f>
        <v>26129</v>
      </c>
      <c r="D12" s="2">
        <f t="shared" si="4"/>
        <v>26467</v>
      </c>
      <c r="E12" s="2">
        <f>E9*(1-E30)</f>
        <v>28083.954149999998</v>
      </c>
      <c r="F12" s="2">
        <f t="shared" ref="F12:I12" si="5">F9*(1-F30)</f>
        <v>29798.188045447496</v>
      </c>
      <c r="G12" s="2">
        <f t="shared" si="5"/>
        <v>31615.433114745592</v>
      </c>
      <c r="H12" s="2">
        <f t="shared" si="5"/>
        <v>33541.748562873996</v>
      </c>
      <c r="I12" s="2">
        <f t="shared" si="5"/>
        <v>35583.539290298169</v>
      </c>
      <c r="J12" s="2">
        <f t="shared" ref="J12:N12" si="6">J9*(1-J30)</f>
        <v>36861.481417117677</v>
      </c>
      <c r="K12" s="2">
        <f t="shared" si="6"/>
        <v>38183.213096992418</v>
      </c>
      <c r="L12" s="2">
        <f t="shared" si="6"/>
        <v>39550.116574190935</v>
      </c>
      <c r="M12" s="2">
        <f t="shared" si="6"/>
        <v>40963.61076812465</v>
      </c>
      <c r="N12" s="2">
        <f t="shared" si="6"/>
        <v>42425.151802176413</v>
      </c>
    </row>
    <row r="13" spans="1:17" x14ac:dyDescent="0.25">
      <c r="A13" s="2" t="s">
        <v>17</v>
      </c>
      <c r="B13" s="2">
        <f>B9-B12</f>
        <v>8370</v>
      </c>
      <c r="C13" s="2">
        <f t="shared" ref="C13:D13" si="7">C9-C12</f>
        <v>9847</v>
      </c>
      <c r="D13" s="2">
        <f t="shared" si="7"/>
        <v>9709</v>
      </c>
      <c r="E13" s="2">
        <f t="shared" ref="E13" si="8">E9-E12</f>
        <v>10443.485849999997</v>
      </c>
      <c r="F13" s="2">
        <f t="shared" ref="F13" si="9">F9-F12</f>
        <v>11233.535554552494</v>
      </c>
      <c r="G13" s="2">
        <f t="shared" ref="G13" si="10">G9-G12</f>
        <v>12083.352519254393</v>
      </c>
      <c r="H13" s="2">
        <f t="shared" ref="H13" si="11">H9-H12</f>
        <v>12997.458137335983</v>
      </c>
      <c r="I13" s="2">
        <f t="shared" ref="I13" si="12">I9-I12</f>
        <v>13980.715845425453</v>
      </c>
      <c r="J13" s="2">
        <f t="shared" ref="J13" si="13">J9-J12</f>
        <v>14685.343924034889</v>
      </c>
      <c r="K13" s="2">
        <f t="shared" ref="K13" si="14">K9-K12</f>
        <v>15425.485257806249</v>
      </c>
      <c r="L13" s="2">
        <f t="shared" ref="L13" si="15">L9-L12</f>
        <v>16202.929714799684</v>
      </c>
      <c r="M13" s="2">
        <f t="shared" ref="M13" si="16">M9-M12</f>
        <v>17019.557372425596</v>
      </c>
      <c r="N13" s="2">
        <f t="shared" ref="N13" si="17">N9-N12</f>
        <v>17877.343063995846</v>
      </c>
    </row>
    <row r="14" spans="1:17" x14ac:dyDescent="0.25">
      <c r="A14" s="2" t="s">
        <v>9</v>
      </c>
      <c r="B14" s="2">
        <v>462</v>
      </c>
      <c r="C14" s="2">
        <v>539</v>
      </c>
      <c r="D14" s="2">
        <v>566</v>
      </c>
      <c r="E14" s="2">
        <f>D14*(1+E27)</f>
        <v>602.79</v>
      </c>
      <c r="F14" s="2">
        <f t="shared" ref="F14:I14" si="18">E14*(1+F27)</f>
        <v>641.97134999999992</v>
      </c>
      <c r="G14" s="2">
        <f t="shared" si="18"/>
        <v>683.69948774999989</v>
      </c>
      <c r="H14" s="2">
        <f t="shared" si="18"/>
        <v>728.13995445374985</v>
      </c>
      <c r="I14" s="2">
        <f t="shared" si="18"/>
        <v>775.46905149324357</v>
      </c>
      <c r="J14" s="2">
        <f t="shared" ref="J14:N14" si="19">I14*(1+J27)</f>
        <v>806.48781355297331</v>
      </c>
      <c r="K14" s="2">
        <f t="shared" si="19"/>
        <v>838.74732609509226</v>
      </c>
      <c r="L14" s="2">
        <f t="shared" si="19"/>
        <v>872.29721913889603</v>
      </c>
      <c r="M14" s="2">
        <f t="shared" si="19"/>
        <v>907.18910790445193</v>
      </c>
      <c r="N14" s="2">
        <f t="shared" si="19"/>
        <v>943.47667222063001</v>
      </c>
    </row>
    <row r="15" spans="1:17" x14ac:dyDescent="0.25">
      <c r="A15" s="2" t="s">
        <v>13</v>
      </c>
      <c r="B15" s="2">
        <v>1448</v>
      </c>
      <c r="C15" s="2">
        <v>1363</v>
      </c>
      <c r="D15" s="2">
        <v>1513</v>
      </c>
      <c r="E15" s="2">
        <f>D15*(1+E27)</f>
        <v>1611.345</v>
      </c>
      <c r="F15" s="2">
        <f t="shared" ref="F15:I15" si="20">E15*(1+F27)</f>
        <v>1716.0824249999998</v>
      </c>
      <c r="G15" s="2">
        <f t="shared" si="20"/>
        <v>1827.6277826249998</v>
      </c>
      <c r="H15" s="2">
        <f t="shared" si="20"/>
        <v>1946.4235884956247</v>
      </c>
      <c r="I15" s="2">
        <f t="shared" si="20"/>
        <v>2072.94112174784</v>
      </c>
      <c r="J15" s="2">
        <f t="shared" ref="J15:N15" si="21">I15*(1+J27)</f>
        <v>2155.8587666177536</v>
      </c>
      <c r="K15" s="2">
        <f t="shared" si="21"/>
        <v>2242.0931172824639</v>
      </c>
      <c r="L15" s="2">
        <f t="shared" si="21"/>
        <v>2331.7768419737627</v>
      </c>
      <c r="M15" s="2">
        <f t="shared" si="21"/>
        <v>2425.0479156527131</v>
      </c>
      <c r="N15" s="2">
        <f t="shared" si="21"/>
        <v>2522.0498322788217</v>
      </c>
      <c r="P15" s="2" t="s">
        <v>40</v>
      </c>
      <c r="Q15" s="8">
        <v>0.04</v>
      </c>
    </row>
    <row r="16" spans="1:17" x14ac:dyDescent="0.25">
      <c r="A16" s="2" t="s">
        <v>14</v>
      </c>
      <c r="B16" s="2">
        <v>2032</v>
      </c>
      <c r="C16" s="2">
        <v>2441</v>
      </c>
      <c r="D16" s="2">
        <v>2523</v>
      </c>
      <c r="E16" s="2">
        <f>D16*(1+E27)</f>
        <v>2686.9949999999999</v>
      </c>
      <c r="F16" s="2">
        <f t="shared" ref="F16:I16" si="22">E16*(1+F27)</f>
        <v>2861.6496749999997</v>
      </c>
      <c r="G16" s="2">
        <f t="shared" si="22"/>
        <v>3047.6569038749994</v>
      </c>
      <c r="H16" s="2">
        <f t="shared" si="22"/>
        <v>3245.7546026268742</v>
      </c>
      <c r="I16" s="2">
        <f t="shared" si="22"/>
        <v>3456.7286517976208</v>
      </c>
      <c r="J16" s="2">
        <f t="shared" ref="J16:N16" si="23">I16*(1+J27)</f>
        <v>3594.9977978695256</v>
      </c>
      <c r="K16" s="2">
        <f t="shared" si="23"/>
        <v>3738.7977097843068</v>
      </c>
      <c r="L16" s="2">
        <f t="shared" si="23"/>
        <v>3888.3496181756791</v>
      </c>
      <c r="M16" s="2">
        <f t="shared" si="23"/>
        <v>4043.8836029027066</v>
      </c>
      <c r="N16" s="2">
        <f t="shared" si="23"/>
        <v>4205.6389470188151</v>
      </c>
      <c r="P16" s="2" t="s">
        <v>35</v>
      </c>
      <c r="Q16" s="8">
        <v>0.06</v>
      </c>
    </row>
    <row r="17" spans="1:103" x14ac:dyDescent="0.25">
      <c r="A17" s="2" t="s">
        <v>15</v>
      </c>
      <c r="B17" s="2">
        <f>SUM(B14:B16)</f>
        <v>3942</v>
      </c>
      <c r="C17" s="2">
        <f t="shared" ref="C17:I17" si="24">SUM(C14:C16)</f>
        <v>4343</v>
      </c>
      <c r="D17" s="2">
        <f t="shared" si="24"/>
        <v>4602</v>
      </c>
      <c r="E17" s="2">
        <f t="shared" si="24"/>
        <v>4901.13</v>
      </c>
      <c r="F17" s="2">
        <f t="shared" si="24"/>
        <v>5219.7034499999991</v>
      </c>
      <c r="G17" s="2">
        <f t="shared" si="24"/>
        <v>5558.9841742499993</v>
      </c>
      <c r="H17" s="2">
        <f t="shared" si="24"/>
        <v>5920.3181455762488</v>
      </c>
      <c r="I17" s="2">
        <f t="shared" si="24"/>
        <v>6305.1388250387045</v>
      </c>
      <c r="J17" s="2">
        <f t="shared" ref="J17" si="25">SUM(J14:J16)</f>
        <v>6557.3443780402522</v>
      </c>
      <c r="K17" s="2">
        <f t="shared" ref="K17" si="26">SUM(K14:K16)</f>
        <v>6819.6381531618626</v>
      </c>
      <c r="L17" s="2">
        <f t="shared" ref="L17" si="27">SUM(L14:L16)</f>
        <v>7092.4236792883376</v>
      </c>
      <c r="M17" s="2">
        <f t="shared" ref="M17" si="28">SUM(M14:M16)</f>
        <v>7376.1206264598713</v>
      </c>
      <c r="N17" s="2">
        <f t="shared" ref="N17" si="29">SUM(N14:N16)</f>
        <v>7671.1654515182672</v>
      </c>
      <c r="P17" s="2" t="s">
        <v>36</v>
      </c>
      <c r="Q17" s="8">
        <v>0.01</v>
      </c>
    </row>
    <row r="18" spans="1:103" x14ac:dyDescent="0.25">
      <c r="A18" s="2" t="s">
        <v>19</v>
      </c>
      <c r="B18" s="2">
        <v>234</v>
      </c>
      <c r="C18" s="2">
        <v>298</v>
      </c>
      <c r="D18" s="2">
        <v>301</v>
      </c>
      <c r="E18" s="2">
        <f>D18*1.02</f>
        <v>307.02</v>
      </c>
      <c r="F18" s="2">
        <f t="shared" ref="F18:I18" si="30">E18*1.02</f>
        <v>313.16039999999998</v>
      </c>
      <c r="G18" s="2">
        <f t="shared" si="30"/>
        <v>319.423608</v>
      </c>
      <c r="H18" s="2">
        <f t="shared" si="30"/>
        <v>325.81208015999999</v>
      </c>
      <c r="I18" s="2">
        <f t="shared" si="30"/>
        <v>332.32832176319999</v>
      </c>
      <c r="J18" s="2">
        <f t="shared" ref="J18:N18" si="31">I18*1.02</f>
        <v>338.97488819846399</v>
      </c>
      <c r="K18" s="2">
        <f t="shared" si="31"/>
        <v>345.75438596243328</v>
      </c>
      <c r="L18" s="2">
        <f t="shared" si="31"/>
        <v>352.66947368168195</v>
      </c>
      <c r="M18" s="2">
        <f t="shared" si="31"/>
        <v>359.72286315531562</v>
      </c>
      <c r="N18" s="2">
        <f t="shared" si="31"/>
        <v>366.91732041842192</v>
      </c>
      <c r="P18" s="2" t="s">
        <v>37</v>
      </c>
      <c r="Q18" s="9">
        <v>7.4999999999999997E-2</v>
      </c>
    </row>
    <row r="19" spans="1:103" x14ac:dyDescent="0.25">
      <c r="A19" s="2" t="s">
        <v>16</v>
      </c>
      <c r="B19" s="2">
        <f>B13-B17+B18</f>
        <v>4662</v>
      </c>
      <c r="C19" s="2">
        <f t="shared" ref="C19:I19" si="32">C13-C17+C18</f>
        <v>5802</v>
      </c>
      <c r="D19" s="2">
        <f t="shared" si="32"/>
        <v>5408</v>
      </c>
      <c r="E19" s="2">
        <f t="shared" si="32"/>
        <v>5849.3758499999967</v>
      </c>
      <c r="F19" s="2">
        <f t="shared" si="32"/>
        <v>6326.9925045524951</v>
      </c>
      <c r="G19" s="2">
        <f t="shared" si="32"/>
        <v>6843.7919530043937</v>
      </c>
      <c r="H19" s="2">
        <f t="shared" si="32"/>
        <v>7402.9520719197344</v>
      </c>
      <c r="I19" s="2">
        <f t="shared" si="32"/>
        <v>8007.9053421499484</v>
      </c>
      <c r="J19" s="2">
        <f t="shared" ref="J19" si="33">J13-J17+J18</f>
        <v>8466.9744341931</v>
      </c>
      <c r="K19" s="2">
        <f t="shared" ref="K19" si="34">K13-K17+K18</f>
        <v>8951.6014906068194</v>
      </c>
      <c r="L19" s="2">
        <f t="shared" ref="L19" si="35">L13-L17+L18</f>
        <v>9463.1755091930281</v>
      </c>
      <c r="M19" s="2">
        <f t="shared" ref="M19" si="36">M13-M17+M18</f>
        <v>10003.159609121039</v>
      </c>
      <c r="N19" s="2">
        <f t="shared" ref="N19" si="37">N13-N17+N18</f>
        <v>10573.094932896001</v>
      </c>
      <c r="P19" s="7" t="s">
        <v>38</v>
      </c>
      <c r="Q19" s="3">
        <f>NPV(Q18,E34:XFD34)+Sheet1!E5-Sheet1!E6</f>
        <v>113192.39322754092</v>
      </c>
    </row>
    <row r="20" spans="1:103" x14ac:dyDescent="0.25">
      <c r="A20" s="2" t="s">
        <v>20</v>
      </c>
      <c r="B20" s="2">
        <f>97-483</f>
        <v>-386</v>
      </c>
      <c r="C20" s="2">
        <f>81-550</f>
        <v>-469</v>
      </c>
      <c r="D20" s="2">
        <f>123-562</f>
        <v>-439</v>
      </c>
      <c r="E20" s="2">
        <f>D36*$Q$15</f>
        <v>-1027</v>
      </c>
      <c r="F20" s="2">
        <f>E36*$Q$15</f>
        <v>-874.61292314000002</v>
      </c>
      <c r="G20" s="2">
        <f>F36*$Q$15</f>
        <v>-702.31772836736525</v>
      </c>
      <c r="H20" s="2">
        <f>G36*$Q$15</f>
        <v>-508.24714286883506</v>
      </c>
      <c r="I20" s="2">
        <f>H36*$Q$15</f>
        <v>-290.37446711082669</v>
      </c>
      <c r="J20" s="2">
        <f t="shared" ref="J20:N20" si="38">I36*$Q$15</f>
        <v>-46.500491459590414</v>
      </c>
      <c r="K20" s="2">
        <f>J36*$Q$16</f>
        <v>329.37972769618273</v>
      </c>
      <c r="L20" s="2">
        <f t="shared" ref="L20:N20" si="39">K36*$Q$16</f>
        <v>769.29823744374505</v>
      </c>
      <c r="M20" s="2">
        <f t="shared" si="39"/>
        <v>1254.3174930343282</v>
      </c>
      <c r="N20" s="2">
        <f t="shared" si="39"/>
        <v>1787.9219076764925</v>
      </c>
      <c r="P20" s="2" t="s">
        <v>1</v>
      </c>
      <c r="Q20" s="2">
        <f>Q19/Sheet1!E3</f>
        <v>99.641191221426865</v>
      </c>
    </row>
    <row r="21" spans="1:103" x14ac:dyDescent="0.25">
      <c r="A21" s="2" t="s">
        <v>21</v>
      </c>
      <c r="B21" s="2">
        <f>B19+B20</f>
        <v>4276</v>
      </c>
      <c r="C21" s="2">
        <f t="shared" ref="C21:I21" si="40">C19+C20</f>
        <v>5333</v>
      </c>
      <c r="D21" s="2">
        <f t="shared" si="40"/>
        <v>4969</v>
      </c>
      <c r="E21" s="2">
        <f t="shared" si="40"/>
        <v>4822.3758499999967</v>
      </c>
      <c r="F21" s="2">
        <f t="shared" si="40"/>
        <v>5452.3795814124951</v>
      </c>
      <c r="G21" s="2">
        <f t="shared" si="40"/>
        <v>6141.4742246370288</v>
      </c>
      <c r="H21" s="2">
        <f t="shared" si="40"/>
        <v>6894.7049290508994</v>
      </c>
      <c r="I21" s="2">
        <f t="shared" si="40"/>
        <v>7717.5308750391214</v>
      </c>
      <c r="J21" s="2">
        <f t="shared" ref="J21" si="41">J19+J20</f>
        <v>8420.4739427335098</v>
      </c>
      <c r="K21" s="2">
        <f t="shared" ref="K21" si="42">K19+K20</f>
        <v>9280.9812183030026</v>
      </c>
      <c r="L21" s="2">
        <f t="shared" ref="L21" si="43">L19+L20</f>
        <v>10232.473746636773</v>
      </c>
      <c r="M21" s="2">
        <f t="shared" ref="M21" si="44">M19+M20</f>
        <v>11257.477102155368</v>
      </c>
      <c r="N21" s="2">
        <f t="shared" ref="N21" si="45">N19+N20</f>
        <v>12361.016840572494</v>
      </c>
      <c r="P21" s="2" t="s">
        <v>39</v>
      </c>
      <c r="Q21" s="8">
        <f>Q20/Sheet1!E2-1</f>
        <v>0.22259130333039101</v>
      </c>
    </row>
    <row r="22" spans="1:103" x14ac:dyDescent="0.25">
      <c r="A22" s="2" t="s">
        <v>22</v>
      </c>
      <c r="B22" s="2">
        <v>949</v>
      </c>
      <c r="C22" s="2">
        <v>1277</v>
      </c>
      <c r="D22" s="2">
        <v>1207</v>
      </c>
      <c r="E22" s="2">
        <f>E28*E21</f>
        <v>1012.6989284999993</v>
      </c>
      <c r="F22" s="2">
        <f t="shared" ref="F22:I22" si="46">F28*F21</f>
        <v>1144.9997120966239</v>
      </c>
      <c r="G22" s="2">
        <f t="shared" si="46"/>
        <v>1289.7095871737761</v>
      </c>
      <c r="H22" s="2">
        <f t="shared" si="46"/>
        <v>1447.8880351006887</v>
      </c>
      <c r="I22" s="2">
        <f t="shared" si="46"/>
        <v>1620.6814837582153</v>
      </c>
      <c r="J22" s="2">
        <f t="shared" ref="J22" si="47">J28*J21</f>
        <v>1768.2995279740369</v>
      </c>
      <c r="K22" s="2">
        <f t="shared" ref="K22" si="48">K28*K21</f>
        <v>1949.0060558436305</v>
      </c>
      <c r="L22" s="2">
        <f t="shared" ref="L22" si="49">L28*L21</f>
        <v>2148.8194867937223</v>
      </c>
      <c r="M22" s="2">
        <f t="shared" ref="M22" si="50">M28*M21</f>
        <v>2364.0701914526271</v>
      </c>
      <c r="N22" s="2">
        <f t="shared" ref="N22" si="51">N28*N21</f>
        <v>2595.8135365202238</v>
      </c>
    </row>
    <row r="23" spans="1:103" s="3" customFormat="1" x14ac:dyDescent="0.25">
      <c r="A23" s="3" t="s">
        <v>23</v>
      </c>
      <c r="B23" s="3">
        <f>B21-B22</f>
        <v>3327</v>
      </c>
      <c r="C23" s="3">
        <f t="shared" ref="C23:I23" si="52">C21-C22</f>
        <v>4056</v>
      </c>
      <c r="D23" s="3">
        <f t="shared" si="52"/>
        <v>3762</v>
      </c>
      <c r="E23" s="3">
        <f t="shared" si="52"/>
        <v>3809.6769214999977</v>
      </c>
      <c r="F23" s="3">
        <f t="shared" si="52"/>
        <v>4307.3798693158715</v>
      </c>
      <c r="G23" s="3">
        <f t="shared" si="52"/>
        <v>4851.7646374632532</v>
      </c>
      <c r="H23" s="3">
        <f t="shared" si="52"/>
        <v>5446.8168939502102</v>
      </c>
      <c r="I23" s="3">
        <f t="shared" si="52"/>
        <v>6096.8493912809063</v>
      </c>
      <c r="J23" s="3">
        <f t="shared" ref="J23" si="53">J21-J22</f>
        <v>6652.1744147594727</v>
      </c>
      <c r="K23" s="3">
        <f t="shared" ref="K23" si="54">K21-K22</f>
        <v>7331.9751624593719</v>
      </c>
      <c r="L23" s="3">
        <f t="shared" ref="L23" si="55">L21-L22</f>
        <v>8083.6542598430515</v>
      </c>
      <c r="M23" s="3">
        <f t="shared" ref="M23" si="56">M21-M22</f>
        <v>8893.4069107027408</v>
      </c>
      <c r="N23" s="3">
        <f t="shared" ref="N23" si="57">N21-N22</f>
        <v>9765.2033040522711</v>
      </c>
      <c r="O23" s="3">
        <f>N23*(1+$Q$17)</f>
        <v>9862.855337092793</v>
      </c>
      <c r="P23" s="3">
        <f t="shared" ref="P23:CA23" si="58">O23*(1+$Q$17)</f>
        <v>9961.4838904637218</v>
      </c>
      <c r="Q23" s="3">
        <f t="shared" si="58"/>
        <v>10061.098729368359</v>
      </c>
      <c r="R23" s="3">
        <f t="shared" si="58"/>
        <v>10161.709716662042</v>
      </c>
      <c r="S23" s="3">
        <f t="shared" si="58"/>
        <v>10263.326813828662</v>
      </c>
      <c r="T23" s="3">
        <f t="shared" si="58"/>
        <v>10365.960081966949</v>
      </c>
      <c r="U23" s="3">
        <f t="shared" si="58"/>
        <v>10469.619682786619</v>
      </c>
      <c r="V23" s="3">
        <f t="shared" si="58"/>
        <v>10574.315879614485</v>
      </c>
      <c r="W23" s="3">
        <f t="shared" si="58"/>
        <v>10680.059038410631</v>
      </c>
      <c r="X23" s="3">
        <f t="shared" si="58"/>
        <v>10786.859628794737</v>
      </c>
      <c r="Y23" s="3">
        <f t="shared" si="58"/>
        <v>10894.728225082685</v>
      </c>
      <c r="Z23" s="3">
        <f t="shared" si="58"/>
        <v>11003.675507333512</v>
      </c>
      <c r="AA23" s="3">
        <f t="shared" si="58"/>
        <v>11113.712262406847</v>
      </c>
      <c r="AB23" s="3">
        <f t="shared" si="58"/>
        <v>11224.849385030915</v>
      </c>
      <c r="AC23" s="3">
        <f t="shared" si="58"/>
        <v>11337.097878881224</v>
      </c>
      <c r="AD23" s="3">
        <f t="shared" si="58"/>
        <v>11450.468857670037</v>
      </c>
      <c r="AE23" s="3">
        <f t="shared" si="58"/>
        <v>11564.973546246738</v>
      </c>
      <c r="AF23" s="3">
        <f t="shared" si="58"/>
        <v>11680.623281709206</v>
      </c>
      <c r="AG23" s="3">
        <f t="shared" si="58"/>
        <v>11797.429514526299</v>
      </c>
      <c r="AH23" s="3">
        <f t="shared" si="58"/>
        <v>11915.403809671561</v>
      </c>
      <c r="AI23" s="3">
        <f t="shared" si="58"/>
        <v>12034.557847768277</v>
      </c>
      <c r="AJ23" s="3">
        <f t="shared" si="58"/>
        <v>12154.903426245961</v>
      </c>
      <c r="AK23" s="3">
        <f t="shared" si="58"/>
        <v>12276.452460508421</v>
      </c>
      <c r="AL23" s="3">
        <f t="shared" si="58"/>
        <v>12399.216985113506</v>
      </c>
      <c r="AM23" s="3">
        <f t="shared" si="58"/>
        <v>12523.209154964641</v>
      </c>
      <c r="AN23" s="3">
        <f t="shared" si="58"/>
        <v>12648.441246514287</v>
      </c>
      <c r="AO23" s="3">
        <f t="shared" si="58"/>
        <v>12774.925658979429</v>
      </c>
      <c r="AP23" s="3">
        <f t="shared" si="58"/>
        <v>12902.674915569223</v>
      </c>
      <c r="AQ23" s="3">
        <f t="shared" si="58"/>
        <v>13031.701664724915</v>
      </c>
      <c r="AR23" s="3">
        <f t="shared" si="58"/>
        <v>13162.018681372165</v>
      </c>
      <c r="AS23" s="3">
        <f t="shared" si="58"/>
        <v>13293.638868185886</v>
      </c>
      <c r="AT23" s="3">
        <f t="shared" si="58"/>
        <v>13426.575256867745</v>
      </c>
      <c r="AU23" s="3">
        <f t="shared" si="58"/>
        <v>13560.841009436423</v>
      </c>
      <c r="AV23" s="3">
        <f t="shared" si="58"/>
        <v>13696.449419530787</v>
      </c>
      <c r="AW23" s="3">
        <f t="shared" si="58"/>
        <v>13833.413913726095</v>
      </c>
      <c r="AX23" s="3">
        <f t="shared" si="58"/>
        <v>13971.748052863357</v>
      </c>
      <c r="AY23" s="3">
        <f t="shared" si="58"/>
        <v>14111.465533391991</v>
      </c>
      <c r="AZ23" s="3">
        <f t="shared" si="58"/>
        <v>14252.580188725911</v>
      </c>
      <c r="BA23" s="3">
        <f t="shared" si="58"/>
        <v>14395.10599061317</v>
      </c>
      <c r="BB23" s="3">
        <f t="shared" si="58"/>
        <v>14539.057050519303</v>
      </c>
      <c r="BC23" s="3">
        <f t="shared" si="58"/>
        <v>14684.447621024496</v>
      </c>
      <c r="BD23" s="3">
        <f t="shared" si="58"/>
        <v>14831.29209723474</v>
      </c>
      <c r="BE23" s="3">
        <f t="shared" si="58"/>
        <v>14979.605018207089</v>
      </c>
      <c r="BF23" s="3">
        <f t="shared" si="58"/>
        <v>15129.401068389159</v>
      </c>
      <c r="BG23" s="3">
        <f t="shared" si="58"/>
        <v>15280.695079073052</v>
      </c>
      <c r="BH23" s="3">
        <f t="shared" si="58"/>
        <v>15433.502029863783</v>
      </c>
      <c r="BI23" s="3">
        <f t="shared" si="58"/>
        <v>15587.837050162421</v>
      </c>
      <c r="BJ23" s="3">
        <f t="shared" si="58"/>
        <v>15743.715420664046</v>
      </c>
      <c r="BK23" s="3">
        <f t="shared" si="58"/>
        <v>15901.152574870686</v>
      </c>
      <c r="BL23" s="3">
        <f t="shared" si="58"/>
        <v>16060.164100619393</v>
      </c>
      <c r="BM23" s="3">
        <f t="shared" si="58"/>
        <v>16220.765741625588</v>
      </c>
      <c r="BN23" s="3">
        <f t="shared" si="58"/>
        <v>16382.973399041844</v>
      </c>
      <c r="BO23" s="3">
        <f t="shared" si="58"/>
        <v>16546.803133032263</v>
      </c>
      <c r="BP23" s="3">
        <f t="shared" si="58"/>
        <v>16712.271164362584</v>
      </c>
      <c r="BQ23" s="3">
        <f t="shared" si="58"/>
        <v>16879.393876006212</v>
      </c>
      <c r="BR23" s="3">
        <f t="shared" si="58"/>
        <v>17048.187814766276</v>
      </c>
      <c r="BS23" s="3">
        <f t="shared" si="58"/>
        <v>17218.66969291394</v>
      </c>
      <c r="BT23" s="3">
        <f t="shared" si="58"/>
        <v>17390.85638984308</v>
      </c>
      <c r="BU23" s="3">
        <f t="shared" si="58"/>
        <v>17564.764953741513</v>
      </c>
      <c r="BV23" s="3">
        <f t="shared" si="58"/>
        <v>17740.412603278928</v>
      </c>
      <c r="BW23" s="3">
        <f t="shared" si="58"/>
        <v>17917.816729311719</v>
      </c>
      <c r="BX23" s="3">
        <f t="shared" si="58"/>
        <v>18096.994896604836</v>
      </c>
      <c r="BY23" s="3">
        <f t="shared" si="58"/>
        <v>18277.964845570885</v>
      </c>
      <c r="BZ23" s="3">
        <f t="shared" si="58"/>
        <v>18460.744494026592</v>
      </c>
      <c r="CA23" s="3">
        <f t="shared" si="58"/>
        <v>18645.351938966858</v>
      </c>
      <c r="CB23" s="3">
        <f t="shared" ref="CB23:CY23" si="59">CA23*(1+$Q$17)</f>
        <v>18831.805458356528</v>
      </c>
      <c r="CC23" s="3">
        <f t="shared" si="59"/>
        <v>19020.123512940092</v>
      </c>
      <c r="CD23" s="3">
        <f t="shared" si="59"/>
        <v>19210.324748069492</v>
      </c>
      <c r="CE23" s="3">
        <f t="shared" si="59"/>
        <v>19402.427995550188</v>
      </c>
      <c r="CF23" s="3">
        <f t="shared" si="59"/>
        <v>19596.45227550569</v>
      </c>
      <c r="CG23" s="3">
        <f t="shared" si="59"/>
        <v>19792.416798260747</v>
      </c>
      <c r="CH23" s="3">
        <f t="shared" si="59"/>
        <v>19990.340966243355</v>
      </c>
      <c r="CI23" s="3">
        <f t="shared" si="59"/>
        <v>20190.24437590579</v>
      </c>
      <c r="CJ23" s="3">
        <f t="shared" si="59"/>
        <v>20392.146819664849</v>
      </c>
      <c r="CK23" s="3">
        <f t="shared" si="59"/>
        <v>20596.068287861497</v>
      </c>
      <c r="CL23" s="3">
        <f t="shared" si="59"/>
        <v>20802.028970740113</v>
      </c>
      <c r="CM23" s="3">
        <f t="shared" si="59"/>
        <v>21010.049260447515</v>
      </c>
      <c r="CN23" s="3">
        <f t="shared" si="59"/>
        <v>21220.149753051992</v>
      </c>
      <c r="CO23" s="3">
        <f t="shared" si="59"/>
        <v>21432.351250582513</v>
      </c>
      <c r="CP23" s="3">
        <f t="shared" si="59"/>
        <v>21646.674763088336</v>
      </c>
      <c r="CQ23" s="3">
        <f t="shared" si="59"/>
        <v>21863.141510719219</v>
      </c>
      <c r="CR23" s="3">
        <f t="shared" si="59"/>
        <v>22081.772925826412</v>
      </c>
      <c r="CS23" s="3">
        <f t="shared" si="59"/>
        <v>22302.590655084678</v>
      </c>
      <c r="CT23" s="3">
        <f t="shared" si="59"/>
        <v>22525.616561635525</v>
      </c>
      <c r="CU23" s="3">
        <f t="shared" si="59"/>
        <v>22750.872727251881</v>
      </c>
      <c r="CV23" s="3">
        <f t="shared" si="59"/>
        <v>22978.381454524399</v>
      </c>
      <c r="CW23" s="3">
        <f t="shared" si="59"/>
        <v>23208.165269069643</v>
      </c>
      <c r="CX23" s="3">
        <f t="shared" si="59"/>
        <v>23440.246921760339</v>
      </c>
      <c r="CY23" s="3">
        <f t="shared" si="59"/>
        <v>23674.649390977942</v>
      </c>
    </row>
    <row r="24" spans="1:103" x14ac:dyDescent="0.25">
      <c r="A24" s="2" t="s">
        <v>2</v>
      </c>
      <c r="B24" s="2">
        <v>1158</v>
      </c>
      <c r="C24" s="2">
        <v>1151</v>
      </c>
      <c r="D24" s="2">
        <v>1137</v>
      </c>
      <c r="E24" s="2">
        <v>1137</v>
      </c>
      <c r="F24" s="2">
        <v>1137</v>
      </c>
      <c r="G24" s="2">
        <v>1137</v>
      </c>
      <c r="H24" s="2">
        <v>1137</v>
      </c>
      <c r="I24" s="2">
        <v>1137</v>
      </c>
      <c r="J24" s="2">
        <v>1137</v>
      </c>
      <c r="K24" s="2">
        <v>1137</v>
      </c>
      <c r="L24" s="2">
        <v>1137</v>
      </c>
      <c r="M24" s="2">
        <v>1137</v>
      </c>
      <c r="N24" s="2">
        <v>1137</v>
      </c>
    </row>
    <row r="25" spans="1:103" x14ac:dyDescent="0.25">
      <c r="A25" s="2" t="s">
        <v>24</v>
      </c>
      <c r="B25" s="6">
        <f>B23/B24</f>
        <v>2.8730569948186528</v>
      </c>
      <c r="C25" s="6">
        <f t="shared" ref="C25:I25" si="60">C23/C24</f>
        <v>3.5238922675933972</v>
      </c>
      <c r="D25" s="6">
        <f t="shared" si="60"/>
        <v>3.3087071240105539</v>
      </c>
      <c r="E25" s="6">
        <f t="shared" si="60"/>
        <v>3.3506393328935777</v>
      </c>
      <c r="F25" s="6">
        <f t="shared" si="60"/>
        <v>3.788372796232077</v>
      </c>
      <c r="G25" s="6">
        <f t="shared" si="60"/>
        <v>4.2671632695367219</v>
      </c>
      <c r="H25" s="6">
        <f t="shared" si="60"/>
        <v>4.7905161776167198</v>
      </c>
      <c r="I25" s="6">
        <f t="shared" si="60"/>
        <v>5.3622246185408144</v>
      </c>
      <c r="J25" s="6">
        <f t="shared" ref="J25" si="61">J23/J24</f>
        <v>5.8506371281965457</v>
      </c>
      <c r="K25" s="6">
        <f t="shared" ref="K25" si="62">K23/K24</f>
        <v>6.4485269678622448</v>
      </c>
      <c r="L25" s="6">
        <f t="shared" ref="L25" si="63">L23/L24</f>
        <v>7.1096343534239681</v>
      </c>
      <c r="M25" s="6">
        <f t="shared" ref="M25" si="64">M23/M24</f>
        <v>7.8218178634148998</v>
      </c>
      <c r="N25" s="6">
        <f t="shared" ref="N25" si="65">N23/N24</f>
        <v>8.5885693087530974</v>
      </c>
    </row>
    <row r="27" spans="1:103" s="3" customFormat="1" x14ac:dyDescent="0.25">
      <c r="A27" s="3" t="s">
        <v>25</v>
      </c>
      <c r="C27" s="5">
        <f>C9/B9-1</f>
        <v>0.11556947502248138</v>
      </c>
      <c r="D27" s="5">
        <f t="shared" ref="D27:I27" si="66">D9/C9-1</f>
        <v>5.5592617300421754E-3</v>
      </c>
      <c r="E27" s="5">
        <f t="shared" si="66"/>
        <v>6.4999999999999947E-2</v>
      </c>
      <c r="F27" s="5">
        <f t="shared" si="66"/>
        <v>6.4999999999999947E-2</v>
      </c>
      <c r="G27" s="5">
        <f t="shared" si="66"/>
        <v>6.4999999999999947E-2</v>
      </c>
      <c r="H27" s="5">
        <f t="shared" si="66"/>
        <v>6.4999999999999947E-2</v>
      </c>
      <c r="I27" s="5">
        <f t="shared" si="66"/>
        <v>6.4999999999999947E-2</v>
      </c>
      <c r="J27" s="5">
        <f t="shared" ref="J27:N27" si="67">J9/I9-1</f>
        <v>4.0000000000000036E-2</v>
      </c>
      <c r="K27" s="5">
        <f t="shared" si="67"/>
        <v>4.0000000000000036E-2</v>
      </c>
      <c r="L27" s="5">
        <f t="shared" si="67"/>
        <v>4.0000000000000036E-2</v>
      </c>
      <c r="M27" s="5">
        <f t="shared" si="67"/>
        <v>4.0000000000000036E-2</v>
      </c>
      <c r="N27" s="5">
        <f t="shared" si="67"/>
        <v>4.0000000000000036E-2</v>
      </c>
    </row>
    <row r="28" spans="1:103" x14ac:dyDescent="0.25">
      <c r="A28" s="2" t="s">
        <v>26</v>
      </c>
      <c r="B28" s="8">
        <f>B22/B21</f>
        <v>0.22193638914873715</v>
      </c>
      <c r="C28" s="8">
        <f t="shared" ref="C28:D28" si="68">C22/C21</f>
        <v>0.2394524657791112</v>
      </c>
      <c r="D28" s="8">
        <f t="shared" si="68"/>
        <v>0.24290601730730529</v>
      </c>
      <c r="E28" s="8">
        <v>0.21</v>
      </c>
      <c r="F28" s="8">
        <v>0.21</v>
      </c>
      <c r="G28" s="8">
        <v>0.21</v>
      </c>
      <c r="H28" s="8">
        <v>0.21</v>
      </c>
      <c r="I28" s="8">
        <v>0.21</v>
      </c>
      <c r="J28" s="8">
        <v>0.21</v>
      </c>
      <c r="K28" s="8">
        <v>0.21</v>
      </c>
      <c r="L28" s="8">
        <v>0.21</v>
      </c>
      <c r="M28" s="8">
        <v>0.21</v>
      </c>
      <c r="N28" s="8">
        <v>0.21</v>
      </c>
    </row>
    <row r="30" spans="1:103" s="3" customFormat="1" x14ac:dyDescent="0.25">
      <c r="A30" s="3" t="s">
        <v>27</v>
      </c>
      <c r="B30" s="5">
        <f>B13/B9</f>
        <v>0.2595429315637694</v>
      </c>
      <c r="C30" s="5">
        <f t="shared" ref="C30:D30" si="69">C13/C9</f>
        <v>0.27371025127863019</v>
      </c>
      <c r="D30" s="5">
        <f t="shared" si="69"/>
        <v>0.26838235294117646</v>
      </c>
      <c r="E30" s="5">
        <f>D30*1.01</f>
        <v>0.27106617647058823</v>
      </c>
      <c r="F30" s="5">
        <f t="shared" ref="F30:N30" si="70">E30*1.01</f>
        <v>0.27377683823529408</v>
      </c>
      <c r="G30" s="5">
        <f t="shared" si="70"/>
        <v>0.27651460661764704</v>
      </c>
      <c r="H30" s="5">
        <f t="shared" si="70"/>
        <v>0.27927975268382349</v>
      </c>
      <c r="I30" s="5">
        <f t="shared" si="70"/>
        <v>0.28207255021066174</v>
      </c>
      <c r="J30" s="5">
        <f t="shared" si="70"/>
        <v>0.28489327571276835</v>
      </c>
      <c r="K30" s="5">
        <f t="shared" si="70"/>
        <v>0.28774220846989601</v>
      </c>
      <c r="L30" s="5">
        <f t="shared" si="70"/>
        <v>0.290619630554595</v>
      </c>
      <c r="M30" s="5">
        <f t="shared" si="70"/>
        <v>0.29352582686014095</v>
      </c>
      <c r="N30" s="5">
        <f t="shared" si="70"/>
        <v>0.29646108512874236</v>
      </c>
    </row>
    <row r="31" spans="1:103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03" x14ac:dyDescent="0.25">
      <c r="A32" s="2" t="s">
        <v>28</v>
      </c>
      <c r="B32" s="2">
        <v>4397</v>
      </c>
      <c r="C32" s="2">
        <v>6009</v>
      </c>
      <c r="D32" s="2">
        <v>6096</v>
      </c>
      <c r="E32" s="2">
        <f>D32*(1+E27*2)</f>
        <v>6888.48</v>
      </c>
      <c r="F32" s="2">
        <f t="shared" ref="F32:N32" si="71">E32*(1+F27*2)</f>
        <v>7783.982399999999</v>
      </c>
      <c r="G32" s="2">
        <f t="shared" si="71"/>
        <v>8795.9001119999975</v>
      </c>
      <c r="H32" s="2">
        <f t="shared" si="71"/>
        <v>9939.3671265599969</v>
      </c>
      <c r="I32" s="2">
        <f t="shared" si="71"/>
        <v>11231.484853012795</v>
      </c>
      <c r="J32" s="2">
        <f t="shared" si="71"/>
        <v>12130.003641253819</v>
      </c>
      <c r="K32" s="2">
        <f t="shared" si="71"/>
        <v>13100.403932554125</v>
      </c>
      <c r="L32" s="2">
        <f t="shared" si="71"/>
        <v>14148.436247158455</v>
      </c>
      <c r="M32" s="2">
        <f t="shared" si="71"/>
        <v>15280.311146931133</v>
      </c>
      <c r="N32" s="2">
        <f t="shared" si="71"/>
        <v>16502.736038685623</v>
      </c>
    </row>
    <row r="33" spans="1:107" x14ac:dyDescent="0.25">
      <c r="A33" s="2" t="s">
        <v>29</v>
      </c>
      <c r="B33" s="2">
        <v>1841</v>
      </c>
      <c r="C33" s="2">
        <v>2334</v>
      </c>
      <c r="D33" s="2">
        <v>2778</v>
      </c>
      <c r="E33" s="2">
        <f>D33*(1+E27)</f>
        <v>2958.5699999999997</v>
      </c>
      <c r="F33" s="2">
        <f t="shared" ref="F33:N33" si="72">E33*(1+F27)</f>
        <v>3150.8770499999996</v>
      </c>
      <c r="G33" s="2">
        <f t="shared" si="72"/>
        <v>3355.6840582499995</v>
      </c>
      <c r="H33" s="2">
        <f t="shared" si="72"/>
        <v>3573.8035220362494</v>
      </c>
      <c r="I33" s="2">
        <f t="shared" si="72"/>
        <v>3806.1007509686056</v>
      </c>
      <c r="J33" s="2">
        <f t="shared" si="72"/>
        <v>3958.3447810073499</v>
      </c>
      <c r="K33" s="2">
        <f t="shared" si="72"/>
        <v>4116.6785722476443</v>
      </c>
      <c r="L33" s="2">
        <f t="shared" si="72"/>
        <v>4281.3457151375505</v>
      </c>
      <c r="M33" s="2">
        <f t="shared" si="72"/>
        <v>4452.5995437430529</v>
      </c>
      <c r="N33" s="2">
        <f t="shared" si="72"/>
        <v>4630.703525492775</v>
      </c>
    </row>
    <row r="34" spans="1:107" s="3" customFormat="1" x14ac:dyDescent="0.25">
      <c r="A34" s="3" t="s">
        <v>30</v>
      </c>
      <c r="B34" s="3">
        <f>B32-B33</f>
        <v>2556</v>
      </c>
      <c r="C34" s="3">
        <f t="shared" ref="C34:D34" si="73">C32-C33</f>
        <v>3675</v>
      </c>
      <c r="D34" s="3">
        <f t="shared" si="73"/>
        <v>3318</v>
      </c>
      <c r="E34" s="3">
        <f t="shared" ref="E34" si="74">E32-E33</f>
        <v>3929.91</v>
      </c>
      <c r="F34" s="3">
        <f t="shared" ref="F34" si="75">F32-F33</f>
        <v>4633.1053499999998</v>
      </c>
      <c r="G34" s="3">
        <f t="shared" ref="G34" si="76">G32-G33</f>
        <v>5440.2160537499985</v>
      </c>
      <c r="H34" s="3">
        <f t="shared" ref="H34" si="77">H32-H33</f>
        <v>6365.5636045237479</v>
      </c>
      <c r="I34" s="3">
        <f t="shared" ref="I34" si="78">I32-I33</f>
        <v>7425.3841020441887</v>
      </c>
      <c r="J34" s="3">
        <f t="shared" ref="J34" si="79">J32-J33</f>
        <v>8171.658860246469</v>
      </c>
      <c r="K34" s="3">
        <f t="shared" ref="K34" si="80">K32-K33</f>
        <v>8983.7253603064819</v>
      </c>
      <c r="L34" s="3">
        <f t="shared" ref="L34" si="81">L32-L33</f>
        <v>9867.0905320209058</v>
      </c>
      <c r="M34" s="3">
        <f t="shared" ref="M34" si="82">M32-M33</f>
        <v>10827.71160318808</v>
      </c>
      <c r="N34" s="3">
        <f t="shared" ref="N34:O34" si="83">N32-N33</f>
        <v>11872.032513192848</v>
      </c>
      <c r="O34" s="3">
        <f>N34*(1+$Q$17)</f>
        <v>11990.752838324775</v>
      </c>
      <c r="P34" s="3">
        <f t="shared" ref="P34:CA34" si="84">O34*(1+$Q$17)</f>
        <v>12110.660366708024</v>
      </c>
      <c r="Q34" s="3">
        <f t="shared" si="84"/>
        <v>12231.766970375103</v>
      </c>
      <c r="R34" s="3">
        <f t="shared" si="84"/>
        <v>12354.084640078854</v>
      </c>
      <c r="S34" s="3">
        <f t="shared" si="84"/>
        <v>12477.625486479643</v>
      </c>
      <c r="T34" s="3">
        <f t="shared" si="84"/>
        <v>12602.40174134444</v>
      </c>
      <c r="U34" s="3">
        <f t="shared" si="84"/>
        <v>12728.425758757885</v>
      </c>
      <c r="V34" s="3">
        <f t="shared" si="84"/>
        <v>12855.710016345463</v>
      </c>
      <c r="W34" s="3">
        <f t="shared" si="84"/>
        <v>12984.267116508918</v>
      </c>
      <c r="X34" s="3">
        <f t="shared" si="84"/>
        <v>13114.109787674008</v>
      </c>
      <c r="Y34" s="3">
        <f t="shared" si="84"/>
        <v>13245.250885550748</v>
      </c>
      <c r="Z34" s="3">
        <f t="shared" si="84"/>
        <v>13377.703394406255</v>
      </c>
      <c r="AA34" s="3">
        <f t="shared" si="84"/>
        <v>13511.480428350318</v>
      </c>
      <c r="AB34" s="3">
        <f t="shared" si="84"/>
        <v>13646.595232633821</v>
      </c>
      <c r="AC34" s="3">
        <f t="shared" si="84"/>
        <v>13783.061184960159</v>
      </c>
      <c r="AD34" s="3">
        <f t="shared" si="84"/>
        <v>13920.891796809761</v>
      </c>
      <c r="AE34" s="3">
        <f t="shared" si="84"/>
        <v>14060.100714777858</v>
      </c>
      <c r="AF34" s="3">
        <f t="shared" si="84"/>
        <v>14200.701721925638</v>
      </c>
      <c r="AG34" s="3">
        <f t="shared" si="84"/>
        <v>14342.708739144895</v>
      </c>
      <c r="AH34" s="3">
        <f t="shared" si="84"/>
        <v>14486.135826536343</v>
      </c>
      <c r="AI34" s="3">
        <f t="shared" si="84"/>
        <v>14630.997184801707</v>
      </c>
      <c r="AJ34" s="3">
        <f t="shared" si="84"/>
        <v>14777.307156649724</v>
      </c>
      <c r="AK34" s="3">
        <f t="shared" si="84"/>
        <v>14925.08022821622</v>
      </c>
      <c r="AL34" s="3">
        <f t="shared" si="84"/>
        <v>15074.331030498382</v>
      </c>
      <c r="AM34" s="3">
        <f t="shared" si="84"/>
        <v>15225.074340803367</v>
      </c>
      <c r="AN34" s="3">
        <f t="shared" si="84"/>
        <v>15377.325084211401</v>
      </c>
      <c r="AO34" s="3">
        <f t="shared" si="84"/>
        <v>15531.098335053515</v>
      </c>
      <c r="AP34" s="3">
        <f t="shared" si="84"/>
        <v>15686.40931840405</v>
      </c>
      <c r="AQ34" s="3">
        <f t="shared" si="84"/>
        <v>15843.27341158809</v>
      </c>
      <c r="AR34" s="3">
        <f t="shared" si="84"/>
        <v>16001.706145703971</v>
      </c>
      <c r="AS34" s="3">
        <f t="shared" si="84"/>
        <v>16161.723207161011</v>
      </c>
      <c r="AT34" s="3">
        <f t="shared" si="84"/>
        <v>16323.340439232621</v>
      </c>
      <c r="AU34" s="3">
        <f t="shared" si="84"/>
        <v>16486.573843624948</v>
      </c>
      <c r="AV34" s="3">
        <f t="shared" si="84"/>
        <v>16651.439582061197</v>
      </c>
      <c r="AW34" s="3">
        <f t="shared" si="84"/>
        <v>16817.953977881811</v>
      </c>
      <c r="AX34" s="3">
        <f t="shared" si="84"/>
        <v>16986.13351766063</v>
      </c>
      <c r="AY34" s="3">
        <f t="shared" si="84"/>
        <v>17155.994852837237</v>
      </c>
      <c r="AZ34" s="3">
        <f t="shared" si="84"/>
        <v>17327.554801365608</v>
      </c>
      <c r="BA34" s="3">
        <f t="shared" si="84"/>
        <v>17500.830349379263</v>
      </c>
      <c r="BB34" s="3">
        <f t="shared" si="84"/>
        <v>17675.838652873055</v>
      </c>
      <c r="BC34" s="3">
        <f t="shared" si="84"/>
        <v>17852.597039401786</v>
      </c>
      <c r="BD34" s="3">
        <f t="shared" si="84"/>
        <v>18031.123009795803</v>
      </c>
      <c r="BE34" s="3">
        <f t="shared" si="84"/>
        <v>18211.434239893762</v>
      </c>
      <c r="BF34" s="3">
        <f t="shared" si="84"/>
        <v>18393.5485822927</v>
      </c>
      <c r="BG34" s="3">
        <f t="shared" si="84"/>
        <v>18577.484068115627</v>
      </c>
      <c r="BH34" s="3">
        <f t="shared" si="84"/>
        <v>18763.258908796783</v>
      </c>
      <c r="BI34" s="3">
        <f t="shared" si="84"/>
        <v>18950.89149788475</v>
      </c>
      <c r="BJ34" s="3">
        <f t="shared" si="84"/>
        <v>19140.400412863597</v>
      </c>
      <c r="BK34" s="3">
        <f t="shared" si="84"/>
        <v>19331.804416992232</v>
      </c>
      <c r="BL34" s="3">
        <f t="shared" si="84"/>
        <v>19525.122461162155</v>
      </c>
      <c r="BM34" s="3">
        <f t="shared" si="84"/>
        <v>19720.373685773775</v>
      </c>
      <c r="BN34" s="3">
        <f t="shared" si="84"/>
        <v>19917.577422631512</v>
      </c>
      <c r="BO34" s="3">
        <f t="shared" si="84"/>
        <v>20116.753196857826</v>
      </c>
      <c r="BP34" s="3">
        <f t="shared" si="84"/>
        <v>20317.920728826404</v>
      </c>
      <c r="BQ34" s="3">
        <f t="shared" si="84"/>
        <v>20521.099936114668</v>
      </c>
      <c r="BR34" s="3">
        <f t="shared" si="84"/>
        <v>20726.310935475816</v>
      </c>
      <c r="BS34" s="3">
        <f t="shared" si="84"/>
        <v>20933.574044830573</v>
      </c>
      <c r="BT34" s="3">
        <f t="shared" si="84"/>
        <v>21142.90978527888</v>
      </c>
      <c r="BU34" s="3">
        <f t="shared" si="84"/>
        <v>21354.33888313167</v>
      </c>
      <c r="BV34" s="3">
        <f t="shared" si="84"/>
        <v>21567.882271962986</v>
      </c>
      <c r="BW34" s="3">
        <f t="shared" si="84"/>
        <v>21783.561094682616</v>
      </c>
      <c r="BX34" s="3">
        <f t="shared" si="84"/>
        <v>22001.396705629442</v>
      </c>
      <c r="BY34" s="3">
        <f t="shared" si="84"/>
        <v>22221.410672685735</v>
      </c>
      <c r="BZ34" s="3">
        <f t="shared" si="84"/>
        <v>22443.624779412592</v>
      </c>
      <c r="CA34" s="3">
        <f t="shared" si="84"/>
        <v>22668.061027206717</v>
      </c>
      <c r="CB34" s="3">
        <f t="shared" ref="CB34:DC34" si="85">CA34*(1+$Q$17)</f>
        <v>22894.741637478783</v>
      </c>
      <c r="CC34" s="3">
        <f t="shared" si="85"/>
        <v>23123.68905385357</v>
      </c>
      <c r="CD34" s="3">
        <f t="shared" si="85"/>
        <v>23354.925944392107</v>
      </c>
      <c r="CE34" s="3">
        <f t="shared" si="85"/>
        <v>23588.475203836028</v>
      </c>
      <c r="CF34" s="3">
        <f t="shared" si="85"/>
        <v>23824.359955874388</v>
      </c>
      <c r="CG34" s="3">
        <f t="shared" si="85"/>
        <v>24062.603555433132</v>
      </c>
      <c r="CH34" s="3">
        <f t="shared" si="85"/>
        <v>24303.229590987463</v>
      </c>
      <c r="CI34" s="3">
        <f t="shared" si="85"/>
        <v>24546.261886897337</v>
      </c>
      <c r="CJ34" s="3">
        <f t="shared" si="85"/>
        <v>24791.724505766309</v>
      </c>
      <c r="CK34" s="3">
        <f t="shared" si="85"/>
        <v>25039.641750823972</v>
      </c>
      <c r="CL34" s="3">
        <f t="shared" si="85"/>
        <v>25290.038168332212</v>
      </c>
      <c r="CM34" s="3">
        <f t="shared" si="85"/>
        <v>25542.938550015533</v>
      </c>
      <c r="CN34" s="3">
        <f t="shared" si="85"/>
        <v>25798.367935515689</v>
      </c>
      <c r="CO34" s="3">
        <f t="shared" si="85"/>
        <v>26056.351614870848</v>
      </c>
      <c r="CP34" s="3">
        <f t="shared" si="85"/>
        <v>26316.915131019556</v>
      </c>
      <c r="CQ34" s="3">
        <f t="shared" si="85"/>
        <v>26580.08428232975</v>
      </c>
      <c r="CR34" s="3">
        <f t="shared" si="85"/>
        <v>26845.885125153047</v>
      </c>
      <c r="CS34" s="3">
        <f t="shared" si="85"/>
        <v>27114.343976404576</v>
      </c>
      <c r="CT34" s="3">
        <f t="shared" si="85"/>
        <v>27385.487416168624</v>
      </c>
      <c r="CU34" s="3">
        <f t="shared" si="85"/>
        <v>27659.342290330311</v>
      </c>
      <c r="CV34" s="3">
        <f t="shared" si="85"/>
        <v>27935.935713233615</v>
      </c>
      <c r="CW34" s="3">
        <f t="shared" si="85"/>
        <v>28215.295070365952</v>
      </c>
      <c r="CX34" s="3">
        <f t="shared" si="85"/>
        <v>28497.448021069613</v>
      </c>
      <c r="CY34" s="3">
        <f t="shared" si="85"/>
        <v>28782.422501280311</v>
      </c>
      <c r="CZ34" s="3">
        <f t="shared" si="85"/>
        <v>29070.246726293113</v>
      </c>
      <c r="DA34" s="3">
        <f t="shared" si="85"/>
        <v>29360.949193556044</v>
      </c>
      <c r="DB34" s="3">
        <f t="shared" si="85"/>
        <v>29654.558685491604</v>
      </c>
      <c r="DC34" s="3">
        <f t="shared" si="85"/>
        <v>29951.104272346522</v>
      </c>
    </row>
    <row r="36" spans="1:107" x14ac:dyDescent="0.25">
      <c r="A36" s="2" t="s">
        <v>31</v>
      </c>
      <c r="D36" s="2">
        <f>D38-D40</f>
        <v>-25675</v>
      </c>
      <c r="E36" s="2">
        <f>D36+E23</f>
        <v>-21865.323078500001</v>
      </c>
      <c r="F36" s="2">
        <f t="shared" ref="F36:I36" si="86">E36+F23</f>
        <v>-17557.94320918413</v>
      </c>
      <c r="G36" s="2">
        <f t="shared" si="86"/>
        <v>-12706.178571720877</v>
      </c>
      <c r="H36" s="2">
        <f t="shared" si="86"/>
        <v>-7259.3616777706666</v>
      </c>
      <c r="I36" s="2">
        <f t="shared" si="86"/>
        <v>-1162.5122864897603</v>
      </c>
      <c r="J36" s="2">
        <f t="shared" ref="J36:N36" si="87">I36+J23</f>
        <v>5489.6621282697124</v>
      </c>
      <c r="K36" s="2">
        <f t="shared" si="87"/>
        <v>12821.637290729084</v>
      </c>
      <c r="L36" s="2">
        <f t="shared" si="87"/>
        <v>20905.291550572136</v>
      </c>
      <c r="M36" s="2">
        <f t="shared" si="87"/>
        <v>29798.698461274878</v>
      </c>
      <c r="N36" s="2">
        <f t="shared" si="87"/>
        <v>39563.901765327151</v>
      </c>
    </row>
    <row r="38" spans="1:107" x14ac:dyDescent="0.25">
      <c r="A38" s="2" t="s">
        <v>4</v>
      </c>
      <c r="D38">
        <f>3671+286</f>
        <v>3957</v>
      </c>
    </row>
    <row r="40" spans="1:107" x14ac:dyDescent="0.25">
      <c r="A40" s="2" t="s">
        <v>5</v>
      </c>
      <c r="D40">
        <f>14312+5941+8857+522</f>
        <v>29632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2025-04-17T21:42:10Z</dcterms:created>
  <dcterms:modified xsi:type="dcterms:W3CDTF">2025-04-17T22:04:21Z</dcterms:modified>
</cp:coreProperties>
</file>