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795C5403-2206-43C2-A582-BF5F9E7625BD}" xr6:coauthVersionLast="47" xr6:coauthVersionMax="47" xr10:uidLastSave="{00000000-0000-0000-0000-000000000000}"/>
  <bookViews>
    <workbookView xWindow="7245" yWindow="945" windowWidth="20745" windowHeight="13995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S2" i="2" s="1"/>
  <c r="N23" i="2"/>
  <c r="K25" i="2"/>
  <c r="M25" i="2"/>
  <c r="L25" i="2"/>
  <c r="K24" i="2"/>
  <c r="L24" i="2"/>
  <c r="M24" i="2"/>
  <c r="M30" i="2"/>
  <c r="C30" i="2"/>
  <c r="N11" i="2"/>
  <c r="D2" i="2"/>
  <c r="E2" i="2" s="1"/>
  <c r="I11" i="1"/>
  <c r="D24" i="2"/>
  <c r="F24" i="2"/>
  <c r="G24" i="2"/>
  <c r="D5" i="2"/>
  <c r="E5" i="2" s="1"/>
  <c r="F5" i="2" s="1"/>
  <c r="C19" i="2"/>
  <c r="M18" i="2"/>
  <c r="L8" i="2"/>
  <c r="L4" i="2"/>
  <c r="L20" i="2" s="1"/>
  <c r="E24" i="2"/>
  <c r="M4" i="2"/>
  <c r="M20" i="2" s="1"/>
  <c r="M8" i="2"/>
  <c r="B24" i="2"/>
  <c r="B25" i="2" s="1"/>
  <c r="B8" i="2"/>
  <c r="B4" i="2"/>
  <c r="B20" i="2" s="1"/>
  <c r="C24" i="2"/>
  <c r="C25" i="2" s="1"/>
  <c r="C8" i="2"/>
  <c r="C4" i="2"/>
  <c r="C20" i="2" s="1"/>
  <c r="I6" i="1"/>
  <c r="N1" i="2"/>
  <c r="O1" i="2" s="1"/>
  <c r="P1" i="2" s="1"/>
  <c r="Q1" i="2" s="1"/>
  <c r="R1" i="2" s="1"/>
  <c r="S1" i="2" s="1"/>
  <c r="I4" i="1"/>
  <c r="I7" i="1" s="1"/>
  <c r="J11" i="1" s="1"/>
  <c r="S18" i="2" l="1"/>
  <c r="S3" i="2"/>
  <c r="S4" i="2" s="1"/>
  <c r="J10" i="1"/>
  <c r="G5" i="2"/>
  <c r="N3" i="2"/>
  <c r="L9" i="2"/>
  <c r="D19" i="2"/>
  <c r="I24" i="2"/>
  <c r="H24" i="2"/>
  <c r="B9" i="2"/>
  <c r="M9" i="2"/>
  <c r="C9" i="2"/>
  <c r="Q18" i="2"/>
  <c r="P18" i="2"/>
  <c r="R18" i="2" l="1"/>
  <c r="D6" i="2"/>
  <c r="D3" i="2"/>
  <c r="D4" i="2" s="1"/>
  <c r="D7" i="2"/>
  <c r="C12" i="2"/>
  <c r="C14" i="2" s="1"/>
  <c r="C27" i="2" s="1"/>
  <c r="C28" i="2"/>
  <c r="B12" i="2"/>
  <c r="B14" i="2" s="1"/>
  <c r="B16" i="2" s="1"/>
  <c r="B28" i="2"/>
  <c r="N18" i="2"/>
  <c r="N5" i="2" s="1"/>
  <c r="L12" i="2"/>
  <c r="L14" i="2" s="1"/>
  <c r="L27" i="2" s="1"/>
  <c r="L28" i="2"/>
  <c r="E19" i="2"/>
  <c r="F2" i="2"/>
  <c r="O18" i="2"/>
  <c r="M12" i="2"/>
  <c r="M14" i="2" s="1"/>
  <c r="M27" i="2" s="1"/>
  <c r="M28" i="2"/>
  <c r="H5" i="2"/>
  <c r="O5" i="2" l="1"/>
  <c r="P5" i="2" s="1"/>
  <c r="Q5" i="2" s="1"/>
  <c r="O23" i="2"/>
  <c r="P23" i="2" s="1"/>
  <c r="Q23" i="2" s="1"/>
  <c r="R23" i="2" s="1"/>
  <c r="S23" i="2" s="1"/>
  <c r="R5" i="2"/>
  <c r="S5" i="2" s="1"/>
  <c r="N7" i="2"/>
  <c r="O7" i="2" s="1"/>
  <c r="P7" i="2" s="1"/>
  <c r="Q7" i="2" s="1"/>
  <c r="R7" i="2" s="1"/>
  <c r="S7" i="2" s="1"/>
  <c r="B27" i="2"/>
  <c r="C16" i="2"/>
  <c r="E7" i="2"/>
  <c r="E3" i="2"/>
  <c r="D8" i="2"/>
  <c r="D9" i="2" s="1"/>
  <c r="E6" i="2"/>
  <c r="E4" i="2"/>
  <c r="M16" i="2"/>
  <c r="F18" i="2"/>
  <c r="F19" i="2"/>
  <c r="G2" i="2"/>
  <c r="N6" i="2"/>
  <c r="D20" i="2"/>
  <c r="I5" i="2"/>
  <c r="F6" i="2" l="1"/>
  <c r="E8" i="2"/>
  <c r="F3" i="2"/>
  <c r="F7" i="2"/>
  <c r="F4" i="2"/>
  <c r="O6" i="2"/>
  <c r="N8" i="2"/>
  <c r="H2" i="2"/>
  <c r="G18" i="2"/>
  <c r="G19" i="2"/>
  <c r="D13" i="2"/>
  <c r="E13" i="2" s="1"/>
  <c r="F13" i="2" s="1"/>
  <c r="G13" i="2" s="1"/>
  <c r="H13" i="2" s="1"/>
  <c r="I13" i="2" s="1"/>
  <c r="D12" i="2"/>
  <c r="E9" i="2"/>
  <c r="E12" i="2" s="1"/>
  <c r="E14" i="2" s="1"/>
  <c r="E20" i="2"/>
  <c r="G3" i="2" l="1"/>
  <c r="G7" i="2"/>
  <c r="G6" i="2"/>
  <c r="F8" i="2"/>
  <c r="F9" i="2" s="1"/>
  <c r="F12" i="2" s="1"/>
  <c r="F14" i="2" s="1"/>
  <c r="D14" i="2"/>
  <c r="G4" i="2"/>
  <c r="E16" i="2"/>
  <c r="E27" i="2"/>
  <c r="D27" i="2"/>
  <c r="D16" i="2"/>
  <c r="O8" i="2"/>
  <c r="P6" i="2"/>
  <c r="I2" i="2"/>
  <c r="H19" i="2"/>
  <c r="H3" i="2" s="1"/>
  <c r="H18" i="2"/>
  <c r="F20" i="2"/>
  <c r="H7" i="2" l="1"/>
  <c r="H6" i="2"/>
  <c r="G8" i="2"/>
  <c r="H4" i="2"/>
  <c r="F16" i="2"/>
  <c r="F27" i="2"/>
  <c r="I19" i="2"/>
  <c r="I18" i="2"/>
  <c r="P8" i="2"/>
  <c r="Q6" i="2"/>
  <c r="G20" i="2"/>
  <c r="G9" i="2"/>
  <c r="G12" i="2" s="1"/>
  <c r="G14" i="2" s="1"/>
  <c r="I6" i="2" l="1"/>
  <c r="H8" i="2"/>
  <c r="I7" i="2"/>
  <c r="I3" i="2"/>
  <c r="I4" i="2" s="1"/>
  <c r="H20" i="2"/>
  <c r="H9" i="2"/>
  <c r="H12" i="2" s="1"/>
  <c r="H14" i="2" s="1"/>
  <c r="R6" i="2"/>
  <c r="Q8" i="2"/>
  <c r="G27" i="2"/>
  <c r="G16" i="2"/>
  <c r="R8" i="2" l="1"/>
  <c r="S6" i="2"/>
  <c r="S8" i="2" s="1"/>
  <c r="S9" i="2" s="1"/>
  <c r="S13" i="2" s="1"/>
  <c r="I20" i="2"/>
  <c r="I8" i="2"/>
  <c r="I9" i="2" s="1"/>
  <c r="I12" i="2" s="1"/>
  <c r="I14" i="2" s="1"/>
  <c r="H27" i="2"/>
  <c r="H16" i="2"/>
  <c r="I16" i="2" l="1"/>
  <c r="I27" i="2"/>
  <c r="N4" i="2"/>
  <c r="N9" i="2" s="1"/>
  <c r="N13" i="2" l="1"/>
  <c r="N12" i="2"/>
  <c r="N14" i="2" l="1"/>
  <c r="N22" i="2" s="1"/>
  <c r="R3" i="2"/>
  <c r="R4" i="2" s="1"/>
  <c r="R9" i="2" s="1"/>
  <c r="Q3" i="2"/>
  <c r="Q4" i="2" s="1"/>
  <c r="Q9" i="2" s="1"/>
  <c r="P3" i="2"/>
  <c r="P4" i="2" s="1"/>
  <c r="P9" i="2" s="1"/>
  <c r="O3" i="2"/>
  <c r="O4" i="2" s="1"/>
  <c r="O9" i="2" s="1"/>
  <c r="O13" i="2" s="1"/>
  <c r="N24" i="2" l="1"/>
  <c r="N25" i="2" s="1"/>
  <c r="N27" i="2"/>
  <c r="N30" i="2"/>
  <c r="O11" i="2" s="1"/>
  <c r="O12" i="2" s="1"/>
  <c r="O14" i="2" s="1"/>
  <c r="O22" i="2" s="1"/>
  <c r="N16" i="2"/>
  <c r="P13" i="2"/>
  <c r="Q13" i="2"/>
  <c r="R13" i="2"/>
  <c r="O24" i="2" l="1"/>
  <c r="O25" i="2" s="1"/>
  <c r="I8" i="1"/>
  <c r="V33" i="2"/>
  <c r="O16" i="2"/>
  <c r="V34" i="2" s="1"/>
  <c r="O30" i="2"/>
  <c r="O27" i="2"/>
  <c r="P11" i="2" l="1"/>
  <c r="P12" i="2" s="1"/>
  <c r="P14" i="2" s="1"/>
  <c r="P22" i="2" s="1"/>
  <c r="P24" i="2" l="1"/>
  <c r="P25" i="2" s="1"/>
  <c r="P30" i="2"/>
  <c r="Q11" i="2" s="1"/>
  <c r="Q12" i="2" s="1"/>
  <c r="Q14" i="2" s="1"/>
  <c r="Q22" i="2" s="1"/>
  <c r="P16" i="2"/>
  <c r="P27" i="2"/>
  <c r="Q24" i="2" l="1"/>
  <c r="Q25" i="2" s="1"/>
  <c r="Q16" i="2"/>
  <c r="Q27" i="2"/>
  <c r="Q30" i="2"/>
  <c r="R11" i="2" l="1"/>
  <c r="R12" i="2" s="1"/>
  <c r="R14" i="2" s="1"/>
  <c r="R22" i="2" s="1"/>
  <c r="R24" i="2" l="1"/>
  <c r="R25" i="2" s="1"/>
  <c r="R16" i="2"/>
  <c r="R27" i="2"/>
  <c r="R30" i="2"/>
  <c r="S11" i="2" l="1"/>
  <c r="S12" i="2" s="1"/>
  <c r="S14" i="2" s="1"/>
  <c r="S22" i="2" s="1"/>
  <c r="S30" i="2" l="1"/>
  <c r="S24" i="2"/>
  <c r="S25" i="2" s="1"/>
  <c r="S27" i="2"/>
  <c r="S16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T24" i="2" l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V29" i="2" l="1"/>
  <c r="V30" i="2" l="1"/>
  <c r="V31" i="2" s="1"/>
</calcChain>
</file>

<file path=xl/sharedStrings.xml><?xml version="1.0" encoding="utf-8"?>
<sst xmlns="http://schemas.openxmlformats.org/spreadsheetml/2006/main" count="62" uniqueCount="54">
  <si>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</si>
  <si>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</si>
  <si>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</si>
  <si>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</si>
  <si>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</si>
  <si>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</si>
  <si>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</si>
  <si>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</si>
  <si>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</si>
  <si>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</si>
  <si>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</si>
  <si>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</si>
  <si>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</si>
  <si>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</si>
  <si>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</si>
  <si>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</si>
  <si>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</si>
  <si>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CX</t>
  </si>
  <si>
    <t>NTM</t>
  </si>
  <si>
    <t>Net Margin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</si>
  <si>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</si>
  <si>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</si>
  <si>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</si>
  <si>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</si>
  <si>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</si>
  <si>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</si>
  <si>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</si>
  <si>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</si>
  <si>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</si>
  <si>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</si>
  <si>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</si>
  <si>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</si>
  <si>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</si>
  <si>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</si>
  <si>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</si>
  <si>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</si>
  <si>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</si>
  <si>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</si>
  <si>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</si>
  <si>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Q326</t>
  </si>
  <si>
    <t>Q426</t>
  </si>
  <si>
    <t>notes:</t>
  </si>
  <si>
    <t>Tax Rate</t>
  </si>
  <si>
    <t>Revenue q/q</t>
  </si>
  <si>
    <t>"40b revenue by 2026 conservative"</t>
  </si>
  <si>
    <t>"23.5-25b in 2025"</t>
  </si>
  <si>
    <t>Nvidia Blackwell in 2026 main revenue growth</t>
  </si>
  <si>
    <t>Company makes highly energy efficient server-stacks</t>
  </si>
  <si>
    <t>and work with companies like AMD INTC NVDA to</t>
  </si>
  <si>
    <t>implement specific systems like DGX B200, HGX, etc.</t>
  </si>
  <si>
    <t>Forward PE</t>
  </si>
  <si>
    <t>PE</t>
  </si>
  <si>
    <t>ROIC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</si>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</sst>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8" fontId="0" fillId="0" borderId="0" xfId="0" applyNumberFormat="1"/>
    <xf numFmtId="4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9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38100</xdr:colOff>
      <xdr:row>21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2419350" y="0"/>
          <a:ext cx="38100" cy="4152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0</xdr:row>
      <xdr:rowOff>0</xdr:rowOff>
    </xdr:from>
    <xdr:to>
      <xdr:col>13</xdr:col>
      <xdr:colOff>9525</xdr:colOff>
      <xdr:row>21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8524875" y="0"/>
          <a:ext cx="0" cy="4143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12"/>
  <sheetViews>
    <sheetView zoomScale="205" zoomScaleNormal="205" workbookViewId="0">
      <selection activeCell="I3" sqref="I3"/>
    </sheetView>
  </sheetViews>
  <sheetFormatPr defaultRowHeight="15" x14ac:dyDescent="0.25"/>
  <sheetData>
    <row r="1" spans="1:10" x14ac:dyDescent="0.25">
      <c r="A1" s="2" t="s">
        <v>0</v>
      </c>
    </row>
    <row r="2" spans="1:10" x14ac:dyDescent="0.25">
      <c r="B2" t="s">
        <v>41</v>
      </c>
      <c r="H2" t="s">
        <v>1</v>
      </c>
      <c r="I2" s="1">
        <v>29</v>
      </c>
    </row>
    <row r="3" spans="1:10" x14ac:dyDescent="0.25">
      <c r="B3" t="s">
        <v>44</v>
      </c>
      <c r="H3" t="s">
        <v>2</v>
      </c>
      <c r="I3" s="1">
        <v>593.48099999999999</v>
      </c>
      <c r="J3" t="s">
        <v>21</v>
      </c>
    </row>
    <row r="4" spans="1:10" x14ac:dyDescent="0.25">
      <c r="B4" t="s">
        <v>45</v>
      </c>
      <c r="H4" t="s">
        <v>3</v>
      </c>
      <c r="I4" s="1">
        <f>I3*I2</f>
        <v>17210.949000000001</v>
      </c>
    </row>
    <row r="5" spans="1:10" x14ac:dyDescent="0.25">
      <c r="B5" t="s">
        <v>46</v>
      </c>
      <c r="H5" t="s">
        <v>4</v>
      </c>
      <c r="I5" s="1">
        <v>1430</v>
      </c>
      <c r="J5" t="s">
        <v>21</v>
      </c>
    </row>
    <row r="6" spans="1:10" x14ac:dyDescent="0.25">
      <c r="B6" t="s">
        <v>47</v>
      </c>
      <c r="H6" t="s">
        <v>5</v>
      </c>
      <c r="I6" s="1">
        <f>1700+53+289</f>
        <v>2042</v>
      </c>
      <c r="J6" t="s">
        <v>21</v>
      </c>
    </row>
    <row r="7" spans="1:10" x14ac:dyDescent="0.25">
      <c r="B7" t="s">
        <v>48</v>
      </c>
      <c r="H7" t="s">
        <v>6</v>
      </c>
      <c r="I7" s="1">
        <f>I4+I6-I5</f>
        <v>17822.949000000001</v>
      </c>
    </row>
    <row r="8" spans="1:10" x14ac:dyDescent="0.25">
      <c r="B8" t="s">
        <v>49</v>
      </c>
      <c r="H8" t="s">
        <v>51</v>
      </c>
      <c r="I8" s="6">
        <f>I2/model!N16</f>
        <v>11.516396864723506</v>
      </c>
    </row>
    <row r="10" spans="1:10" x14ac:dyDescent="0.25">
      <c r="H10" t="s">
        <v>15</v>
      </c>
      <c r="I10">
        <v>409</v>
      </c>
      <c r="J10" s="6">
        <f>$I$7/I10</f>
        <v>43.576892420537895</v>
      </c>
    </row>
    <row r="11" spans="1:10" x14ac:dyDescent="0.25">
      <c r="H11" t="s">
        <v>18</v>
      </c>
      <c r="I11">
        <f>I10*4*1.6</f>
        <v>2617.6000000000004</v>
      </c>
      <c r="J11" s="6">
        <f>$I$7/I11</f>
        <v>6.8088894407090459</v>
      </c>
    </row>
    <row r="12" spans="1:10" x14ac:dyDescent="0.25">
      <c r="J1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EP34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28" sqref="R28"/>
    </sheetView>
  </sheetViews>
  <sheetFormatPr defaultRowHeight="15" x14ac:dyDescent="0.25"/>
  <cols>
    <col min="1" max="1" width="18" style="1" customWidth="1"/>
    <col min="2" max="13" width="9.140625" style="1"/>
    <col min="14" max="14" width="9.85546875" style="1" bestFit="1" customWidth="1"/>
    <col min="15" max="15" width="10.85546875" style="1" customWidth="1"/>
    <col min="16" max="19" width="9.140625" style="1"/>
    <col min="20" max="20" width="11" style="1" customWidth="1"/>
    <col min="21" max="16384" width="9.140625" style="1"/>
  </cols>
  <sheetData>
    <row r="1" spans="1:8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37</v>
      </c>
      <c r="G1" s="1" t="s">
        <v>38</v>
      </c>
      <c r="H1" s="1" t="s">
        <v>39</v>
      </c>
      <c r="I1" s="1" t="s">
        <v>40</v>
      </c>
      <c r="K1" s="7">
        <v>2022</v>
      </c>
      <c r="L1" s="7">
        <v>2023</v>
      </c>
      <c r="M1" s="7">
        <v>2024</v>
      </c>
      <c r="N1" s="8">
        <f t="shared" ref="N1:S1" si="0">M1+1</f>
        <v>2025</v>
      </c>
      <c r="O1" s="7">
        <f t="shared" si="0"/>
        <v>2026</v>
      </c>
      <c r="P1" s="7">
        <f t="shared" si="0"/>
        <v>2027</v>
      </c>
      <c r="Q1" s="7">
        <f t="shared" si="0"/>
        <v>2028</v>
      </c>
      <c r="R1" s="7">
        <f t="shared" si="0"/>
        <v>2029</v>
      </c>
      <c r="S1" s="7">
        <f t="shared" si="0"/>
        <v>2030</v>
      </c>
    </row>
    <row r="2" spans="1:86" s="3" customFormat="1" x14ac:dyDescent="0.25">
      <c r="A2" s="3" t="s">
        <v>7</v>
      </c>
      <c r="B2" s="3">
        <v>5937</v>
      </c>
      <c r="C2" s="3">
        <v>5678</v>
      </c>
      <c r="D2" s="3">
        <f>C2*1.06</f>
        <v>6018.68</v>
      </c>
      <c r="E2" s="3">
        <f>D2*1.06</f>
        <v>6379.8008000000009</v>
      </c>
      <c r="F2" s="3">
        <f>E2*1.2</f>
        <v>7655.7609600000005</v>
      </c>
      <c r="G2" s="3">
        <f t="shared" ref="G2:I2" si="1">F2*1.2</f>
        <v>9186.913152000001</v>
      </c>
      <c r="H2" s="3">
        <f t="shared" si="1"/>
        <v>11024.2957824</v>
      </c>
      <c r="I2" s="3">
        <f t="shared" si="1"/>
        <v>13229.154938879999</v>
      </c>
      <c r="L2" s="3">
        <v>7123.4</v>
      </c>
      <c r="M2" s="3">
        <v>14989.2</v>
      </c>
      <c r="N2" s="3">
        <v>24000</v>
      </c>
      <c r="O2" s="3">
        <v>35000</v>
      </c>
      <c r="P2" s="3">
        <f>O2*1.16</f>
        <v>40600</v>
      </c>
      <c r="Q2" s="3">
        <f t="shared" ref="Q2:R2" si="2">P2*1.16</f>
        <v>47096</v>
      </c>
      <c r="R2" s="3">
        <f t="shared" si="2"/>
        <v>54631.359999999993</v>
      </c>
      <c r="S2" s="3">
        <f>R2*1.01</f>
        <v>55177.673599999995</v>
      </c>
      <c r="U2" s="1"/>
    </row>
    <row r="3" spans="1:86" x14ac:dyDescent="0.25">
      <c r="A3" s="1" t="s">
        <v>24</v>
      </c>
      <c r="B3" s="1">
        <v>5161.6000000000004</v>
      </c>
      <c r="C3" s="1">
        <v>5007.8999999999996</v>
      </c>
      <c r="D3" s="1">
        <f>C3*(1+D19-0.01)</f>
        <v>5258.2950000000001</v>
      </c>
      <c r="E3" s="1">
        <f>D3*(1+E19)</f>
        <v>5573.7927</v>
      </c>
      <c r="F3" s="1">
        <f>E3*(1+F19-0.01)</f>
        <v>6632.8133129999997</v>
      </c>
      <c r="G3" s="1">
        <f>F3*(1+G19)</f>
        <v>7959.375975599999</v>
      </c>
      <c r="H3" s="1">
        <f>G3*(1+H19-0.01)</f>
        <v>9471.6574109639987</v>
      </c>
      <c r="I3" s="1">
        <f>H3*(1+I19)</f>
        <v>11365.988893156798</v>
      </c>
      <c r="L3" s="1">
        <v>5840.4</v>
      </c>
      <c r="M3" s="1">
        <v>12927.8</v>
      </c>
      <c r="N3" s="1">
        <f>N2*(1-N20)</f>
        <v>20700</v>
      </c>
      <c r="O3" s="1">
        <f t="shared" ref="O3:R3" si="3">O2*(1-O20)</f>
        <v>30187.5</v>
      </c>
      <c r="P3" s="1">
        <f t="shared" si="3"/>
        <v>35017.5</v>
      </c>
      <c r="Q3" s="1">
        <f t="shared" si="3"/>
        <v>40620.300000000003</v>
      </c>
      <c r="R3" s="1">
        <f t="shared" si="3"/>
        <v>47119.547999999995</v>
      </c>
      <c r="S3" s="1">
        <f t="shared" ref="S3" si="4">S2*(1-S20)</f>
        <v>47590.743479999997</v>
      </c>
    </row>
    <row r="4" spans="1:86" x14ac:dyDescent="0.25">
      <c r="A4" s="1" t="s">
        <v>25</v>
      </c>
      <c r="B4" s="1">
        <f>B2-B3</f>
        <v>775.39999999999964</v>
      </c>
      <c r="C4" s="1">
        <f>C2-C3</f>
        <v>670.10000000000036</v>
      </c>
      <c r="D4" s="1">
        <f t="shared" ref="D4:I4" si="5">D2-D3</f>
        <v>760.38500000000022</v>
      </c>
      <c r="E4" s="1">
        <f t="shared" si="5"/>
        <v>806.00810000000092</v>
      </c>
      <c r="F4" s="1">
        <f t="shared" si="5"/>
        <v>1022.9476470000009</v>
      </c>
      <c r="G4" s="1">
        <f t="shared" si="5"/>
        <v>1227.537176400002</v>
      </c>
      <c r="H4" s="1">
        <f t="shared" si="5"/>
        <v>1552.6383714360018</v>
      </c>
      <c r="I4" s="1">
        <f t="shared" si="5"/>
        <v>1863.166045723201</v>
      </c>
      <c r="L4" s="1">
        <f t="shared" ref="L4:M4" si="6">L2-L3</f>
        <v>1283</v>
      </c>
      <c r="M4" s="1">
        <f t="shared" si="6"/>
        <v>2061.4000000000015</v>
      </c>
      <c r="N4" s="1">
        <f t="shared" ref="N4" si="7">N2-N3</f>
        <v>3300</v>
      </c>
      <c r="O4" s="1">
        <f t="shared" ref="O4" si="8">O2-O3</f>
        <v>4812.5</v>
      </c>
      <c r="P4" s="1">
        <f t="shared" ref="P4" si="9">P2-P3</f>
        <v>5582.5</v>
      </c>
      <c r="Q4" s="1">
        <f t="shared" ref="Q4" si="10">Q2-Q3</f>
        <v>6475.6999999999971</v>
      </c>
      <c r="R4" s="1">
        <f t="shared" ref="R4:S4" si="11">R2-R3</f>
        <v>7511.8119999999981</v>
      </c>
      <c r="S4" s="1">
        <f t="shared" si="11"/>
        <v>7586.9301199999973</v>
      </c>
    </row>
    <row r="5" spans="1:86" x14ac:dyDescent="0.25">
      <c r="A5" s="1" t="s">
        <v>11</v>
      </c>
      <c r="B5" s="1">
        <v>132.19999999999999</v>
      </c>
      <c r="C5" s="1">
        <v>158.19999999999999</v>
      </c>
      <c r="D5" s="1">
        <f t="shared" ref="D5:E5" si="12">C5*1.01</f>
        <v>159.78199999999998</v>
      </c>
      <c r="E5" s="1">
        <f t="shared" si="12"/>
        <v>161.37982</v>
      </c>
      <c r="F5" s="1">
        <f t="shared" ref="F5:I5" si="13">E5*1.01</f>
        <v>162.99361819999999</v>
      </c>
      <c r="G5" s="1">
        <f t="shared" si="13"/>
        <v>164.62355438199998</v>
      </c>
      <c r="H5" s="1">
        <f t="shared" si="13"/>
        <v>166.26978992581999</v>
      </c>
      <c r="I5" s="1">
        <f t="shared" si="13"/>
        <v>167.9324878250782</v>
      </c>
      <c r="K5" s="4"/>
      <c r="L5" s="1">
        <v>307.26</v>
      </c>
      <c r="M5" s="1">
        <v>463.5</v>
      </c>
      <c r="N5" s="1">
        <f>M5*(1+N18)</f>
        <v>742.13433672244014</v>
      </c>
      <c r="O5" s="1">
        <f t="shared" ref="O5:S5" si="14">N5*(1+O18)</f>
        <v>1082.2792410535585</v>
      </c>
      <c r="P5" s="1">
        <f t="shared" si="14"/>
        <v>1255.4439196221279</v>
      </c>
      <c r="Q5" s="1">
        <f t="shared" si="14"/>
        <v>1456.3149467616681</v>
      </c>
      <c r="R5" s="1">
        <f t="shared" si="14"/>
        <v>1689.3253382435348</v>
      </c>
      <c r="S5" s="1">
        <f t="shared" si="14"/>
        <v>1706.2185916259702</v>
      </c>
    </row>
    <row r="6" spans="1:86" x14ac:dyDescent="0.25">
      <c r="A6" s="1" t="s">
        <v>27</v>
      </c>
      <c r="B6" s="1">
        <v>68.8</v>
      </c>
      <c r="C6" s="1">
        <v>79.5</v>
      </c>
      <c r="D6" s="1">
        <f t="shared" ref="D6:I6" si="15">C6*(1+D19)</f>
        <v>84.27000000000001</v>
      </c>
      <c r="E6" s="1">
        <f t="shared" si="15"/>
        <v>89.326200000000014</v>
      </c>
      <c r="F6" s="1">
        <f t="shared" si="15"/>
        <v>107.19144000000001</v>
      </c>
      <c r="G6" s="1">
        <f t="shared" si="15"/>
        <v>128.629728</v>
      </c>
      <c r="H6" s="1">
        <f t="shared" si="15"/>
        <v>154.35567359999999</v>
      </c>
      <c r="I6" s="1">
        <f t="shared" si="15"/>
        <v>185.22680831999998</v>
      </c>
      <c r="L6" s="1">
        <v>115</v>
      </c>
      <c r="M6" s="1">
        <v>189.7</v>
      </c>
      <c r="N6" s="1">
        <f>M6*(1+N18)</f>
        <v>303.73869185813783</v>
      </c>
      <c r="O6" s="1">
        <f t="shared" ref="O6:S6" si="16">N6*(1+O18)</f>
        <v>442.95225895978433</v>
      </c>
      <c r="P6" s="1">
        <f t="shared" si="16"/>
        <v>513.82462039334973</v>
      </c>
      <c r="Q6" s="1">
        <f t="shared" si="16"/>
        <v>596.0365596562857</v>
      </c>
      <c r="R6" s="1">
        <f t="shared" si="16"/>
        <v>691.40240920129133</v>
      </c>
      <c r="S6" s="1">
        <f t="shared" si="16"/>
        <v>698.31643329330427</v>
      </c>
    </row>
    <row r="7" spans="1:86" x14ac:dyDescent="0.25">
      <c r="A7" s="1" t="s">
        <v>28</v>
      </c>
      <c r="B7" s="1">
        <v>65.2</v>
      </c>
      <c r="C7" s="1">
        <v>63.6</v>
      </c>
      <c r="D7" s="1">
        <f t="shared" ref="D7:I7" si="17">C7*(1+D19)</f>
        <v>67.416000000000011</v>
      </c>
      <c r="E7" s="1">
        <f t="shared" si="17"/>
        <v>71.460960000000014</v>
      </c>
      <c r="F7" s="1">
        <f t="shared" si="17"/>
        <v>85.753152000000014</v>
      </c>
      <c r="G7" s="1">
        <f t="shared" si="17"/>
        <v>102.90378240000001</v>
      </c>
      <c r="H7" s="1">
        <f t="shared" si="17"/>
        <v>123.48453888</v>
      </c>
      <c r="I7" s="1">
        <f t="shared" si="17"/>
        <v>148.18144665599999</v>
      </c>
      <c r="L7" s="1">
        <v>99.5</v>
      </c>
      <c r="M7" s="1">
        <v>197.3</v>
      </c>
      <c r="N7" s="1">
        <f>M7*(1+N18)</f>
        <v>315.90745336642379</v>
      </c>
      <c r="O7" s="1">
        <f t="shared" ref="O7:S7" si="18">N7*(1+O18)</f>
        <v>460.69836949270132</v>
      </c>
      <c r="P7" s="1">
        <f t="shared" si="18"/>
        <v>534.41010861153347</v>
      </c>
      <c r="Q7" s="1">
        <f t="shared" si="18"/>
        <v>619.91572598937876</v>
      </c>
      <c r="R7" s="1">
        <f t="shared" si="18"/>
        <v>719.10224214767936</v>
      </c>
      <c r="S7" s="1">
        <f t="shared" si="18"/>
        <v>726.29326456915612</v>
      </c>
    </row>
    <row r="8" spans="1:86" x14ac:dyDescent="0.25">
      <c r="A8" s="1" t="s">
        <v>29</v>
      </c>
      <c r="B8" s="1">
        <f>SUM(B5:B7)</f>
        <v>266.2</v>
      </c>
      <c r="C8" s="1">
        <f>SUM(C5:C7)</f>
        <v>301.3</v>
      </c>
      <c r="D8" s="1">
        <f t="shared" ref="D8:I8" si="19">SUM(D5:D7)</f>
        <v>311.46800000000002</v>
      </c>
      <c r="E8" s="1">
        <f t="shared" si="19"/>
        <v>322.16698000000002</v>
      </c>
      <c r="F8" s="1">
        <f t="shared" si="19"/>
        <v>355.93821020000001</v>
      </c>
      <c r="G8" s="1">
        <f t="shared" si="19"/>
        <v>396.15706478199996</v>
      </c>
      <c r="H8" s="1">
        <f t="shared" si="19"/>
        <v>444.11000240582001</v>
      </c>
      <c r="I8" s="1">
        <f t="shared" si="19"/>
        <v>501.34074280107819</v>
      </c>
      <c r="L8" s="1">
        <f t="shared" ref="L8:M8" si="20">SUM(L5:L7)</f>
        <v>521.76</v>
      </c>
      <c r="M8" s="1">
        <f t="shared" si="20"/>
        <v>850.5</v>
      </c>
      <c r="N8" s="1">
        <f t="shared" ref="N8:R8" si="21">SUM(N5:N7)</f>
        <v>1361.7804819470018</v>
      </c>
      <c r="O8" s="1">
        <f t="shared" si="21"/>
        <v>1985.9298695060443</v>
      </c>
      <c r="P8" s="1">
        <f t="shared" si="21"/>
        <v>2303.6786486270112</v>
      </c>
      <c r="Q8" s="1">
        <f t="shared" si="21"/>
        <v>2672.2672324073324</v>
      </c>
      <c r="R8" s="1">
        <f t="shared" si="21"/>
        <v>3099.8299895925056</v>
      </c>
      <c r="S8" s="1">
        <f t="shared" ref="S8" si="22">SUM(S5:S7)</f>
        <v>3130.8282894884305</v>
      </c>
    </row>
    <row r="9" spans="1:86" s="3" customFormat="1" x14ac:dyDescent="0.25">
      <c r="A9" s="3" t="s">
        <v>30</v>
      </c>
      <c r="B9" s="3">
        <f>B4-B8</f>
        <v>509.19999999999965</v>
      </c>
      <c r="C9" s="3">
        <f>C4-C8</f>
        <v>368.80000000000035</v>
      </c>
      <c r="D9" s="3">
        <f t="shared" ref="D9:I9" si="23">D4-D8</f>
        <v>448.9170000000002</v>
      </c>
      <c r="E9" s="3">
        <f t="shared" si="23"/>
        <v>483.8411200000009</v>
      </c>
      <c r="F9" s="3">
        <f t="shared" si="23"/>
        <v>667.00943680000091</v>
      </c>
      <c r="G9" s="3">
        <f t="shared" si="23"/>
        <v>831.38011161800205</v>
      </c>
      <c r="H9" s="3">
        <f t="shared" si="23"/>
        <v>1108.5283690301817</v>
      </c>
      <c r="I9" s="3">
        <f t="shared" si="23"/>
        <v>1361.8253029221228</v>
      </c>
      <c r="L9" s="3">
        <f t="shared" ref="L9:M9" si="24">L4-L8</f>
        <v>761.24</v>
      </c>
      <c r="M9" s="3">
        <f t="shared" si="24"/>
        <v>1210.9000000000015</v>
      </c>
      <c r="N9" s="3">
        <f t="shared" ref="N9" si="25">N4-N8</f>
        <v>1938.2195180529982</v>
      </c>
      <c r="O9" s="3">
        <f t="shared" ref="O9" si="26">O4-O8</f>
        <v>2826.5701304939557</v>
      </c>
      <c r="P9" s="3">
        <f t="shared" ref="P9" si="27">P4-P8</f>
        <v>3278.8213513729888</v>
      </c>
      <c r="Q9" s="3">
        <f t="shared" ref="Q9" si="28">Q4-Q8</f>
        <v>3803.4327675926647</v>
      </c>
      <c r="R9" s="3">
        <f t="shared" ref="R9:S9" si="29">R4-R8</f>
        <v>4411.9820104074925</v>
      </c>
      <c r="S9" s="3">
        <f t="shared" si="29"/>
        <v>4456.1018305115667</v>
      </c>
    </row>
    <row r="10" spans="1:86" x14ac:dyDescent="0.25">
      <c r="A10" s="1" t="s">
        <v>35</v>
      </c>
      <c r="B10" s="1">
        <v>7.2</v>
      </c>
      <c r="C10" s="1">
        <v>12.9</v>
      </c>
      <c r="M10" s="1">
        <v>22.7</v>
      </c>
    </row>
    <row r="11" spans="1:86" x14ac:dyDescent="0.25">
      <c r="A11" s="1" t="s">
        <v>31</v>
      </c>
      <c r="B11" s="1">
        <v>-17.3</v>
      </c>
      <c r="C11" s="1">
        <v>-6.5</v>
      </c>
      <c r="M11" s="1">
        <v>-19.350000000000001</v>
      </c>
      <c r="N11" s="1">
        <f>C30*$V$26</f>
        <v>-36.72</v>
      </c>
      <c r="O11" s="1">
        <f>N30*$V$26</f>
        <v>67.334365155712106</v>
      </c>
      <c r="P11" s="1">
        <f>O30*$V$26</f>
        <v>205.35385125046832</v>
      </c>
      <c r="Q11" s="1">
        <f>P30*$V$26</f>
        <v>373.0912143805761</v>
      </c>
      <c r="R11" s="1">
        <f>Q30*$V$26</f>
        <v>575.75940042730292</v>
      </c>
      <c r="S11" s="1">
        <f>R30*$V$26</f>
        <v>819.43291174625631</v>
      </c>
    </row>
    <row r="12" spans="1:86" x14ac:dyDescent="0.25">
      <c r="A12" s="1" t="s">
        <v>32</v>
      </c>
      <c r="B12" s="1">
        <f>B9+SUM(B10:B11)</f>
        <v>499.09999999999962</v>
      </c>
      <c r="C12" s="1">
        <f>C9+SUM(C10:C11)</f>
        <v>375.20000000000033</v>
      </c>
      <c r="D12" s="1">
        <f t="shared" ref="D12:I12" si="30">D9+SUM(D10:D11)</f>
        <v>448.9170000000002</v>
      </c>
      <c r="E12" s="1">
        <f t="shared" si="30"/>
        <v>483.8411200000009</v>
      </c>
      <c r="F12" s="1">
        <f t="shared" si="30"/>
        <v>667.00943680000091</v>
      </c>
      <c r="G12" s="1">
        <f t="shared" si="30"/>
        <v>831.38011161800205</v>
      </c>
      <c r="H12" s="1">
        <f t="shared" si="30"/>
        <v>1108.5283690301817</v>
      </c>
      <c r="I12" s="1">
        <f t="shared" si="30"/>
        <v>1361.8253029221228</v>
      </c>
      <c r="L12" s="1">
        <f t="shared" ref="L12:M12" si="31">L9+SUM(L10:L11)</f>
        <v>761.24</v>
      </c>
      <c r="M12" s="1">
        <f t="shared" si="31"/>
        <v>1214.2500000000014</v>
      </c>
      <c r="N12" s="1">
        <f t="shared" ref="N12" si="32">N9+SUM(N10:N11)</f>
        <v>1901.4995180529982</v>
      </c>
      <c r="O12" s="1">
        <f t="shared" ref="O12" si="33">O9+SUM(O10:O11)</f>
        <v>2893.9044956496678</v>
      </c>
      <c r="P12" s="1">
        <f t="shared" ref="P12" si="34">P9+SUM(P10:P11)</f>
        <v>3484.1752026234572</v>
      </c>
      <c r="Q12" s="1">
        <f t="shared" ref="Q12" si="35">Q9+SUM(Q10:Q11)</f>
        <v>4176.5239819732406</v>
      </c>
      <c r="R12" s="1">
        <f t="shared" ref="R12:S12" si="36">R9+SUM(R10:R11)</f>
        <v>4987.7414108347957</v>
      </c>
      <c r="S12" s="1">
        <f t="shared" si="36"/>
        <v>5275.5347422578234</v>
      </c>
    </row>
    <row r="13" spans="1:86" x14ac:dyDescent="0.25">
      <c r="A13" s="1" t="s">
        <v>33</v>
      </c>
      <c r="B13" s="1">
        <v>74.7</v>
      </c>
      <c r="C13" s="1">
        <v>56.9</v>
      </c>
      <c r="D13" s="1">
        <f>D28*D9</f>
        <v>67.337550000000022</v>
      </c>
      <c r="E13" s="1">
        <f>D13*1.02</f>
        <v>68.684301000000019</v>
      </c>
      <c r="F13" s="1">
        <f t="shared" ref="F13:I13" si="37">E13*1.02</f>
        <v>70.057987020000027</v>
      </c>
      <c r="G13" s="1">
        <f t="shared" si="37"/>
        <v>71.459146760400031</v>
      </c>
      <c r="H13" s="1">
        <f t="shared" si="37"/>
        <v>72.888329695608036</v>
      </c>
      <c r="I13" s="1">
        <f t="shared" si="37"/>
        <v>74.346096289520204</v>
      </c>
      <c r="L13" s="1">
        <v>110.6</v>
      </c>
      <c r="M13" s="1">
        <v>63.3</v>
      </c>
      <c r="N13" s="1">
        <f t="shared" ref="N13:S13" si="38">N28*N9</f>
        <v>407.02609879112958</v>
      </c>
      <c r="O13" s="1">
        <f t="shared" si="38"/>
        <v>593.57972740373066</v>
      </c>
      <c r="P13" s="1">
        <f t="shared" si="38"/>
        <v>688.55248378832766</v>
      </c>
      <c r="Q13" s="1">
        <f t="shared" si="38"/>
        <v>798.72088119445959</v>
      </c>
      <c r="R13" s="1">
        <f t="shared" si="38"/>
        <v>926.51622218557338</v>
      </c>
      <c r="S13" s="1">
        <f t="shared" si="38"/>
        <v>935.78138440742896</v>
      </c>
    </row>
    <row r="14" spans="1:86" x14ac:dyDescent="0.25">
      <c r="A14" s="3" t="s">
        <v>8</v>
      </c>
      <c r="B14" s="3">
        <f>B12-B13</f>
        <v>424.39999999999964</v>
      </c>
      <c r="C14" s="3">
        <f>C12-C13</f>
        <v>318.30000000000035</v>
      </c>
      <c r="D14" s="3">
        <f>D12-D13</f>
        <v>381.57945000000018</v>
      </c>
      <c r="E14" s="3">
        <f>E12-E13</f>
        <v>415.15681900000089</v>
      </c>
      <c r="F14" s="3">
        <f t="shared" ref="F14:I14" si="39">F12-F13</f>
        <v>596.95144978000087</v>
      </c>
      <c r="G14" s="3">
        <f t="shared" si="39"/>
        <v>759.92096485760203</v>
      </c>
      <c r="H14" s="3">
        <f t="shared" si="39"/>
        <v>1035.6400393345737</v>
      </c>
      <c r="I14" s="3">
        <f t="shared" si="39"/>
        <v>1287.4792066326027</v>
      </c>
      <c r="J14" s="3"/>
      <c r="K14" s="3"/>
      <c r="L14" s="3">
        <f t="shared" ref="L14:S14" si="40">L12-L13</f>
        <v>650.64</v>
      </c>
      <c r="M14" s="3">
        <f t="shared" si="40"/>
        <v>1150.9500000000014</v>
      </c>
      <c r="N14" s="3">
        <f t="shared" si="40"/>
        <v>1494.4734192618685</v>
      </c>
      <c r="O14" s="3">
        <f t="shared" si="40"/>
        <v>2300.3247682459369</v>
      </c>
      <c r="P14" s="3">
        <f t="shared" si="40"/>
        <v>2795.6227188351295</v>
      </c>
      <c r="Q14" s="3">
        <f t="shared" si="40"/>
        <v>3377.8031007787808</v>
      </c>
      <c r="R14" s="3">
        <f t="shared" si="40"/>
        <v>4061.2251886492222</v>
      </c>
      <c r="S14" s="3">
        <f t="shared" si="40"/>
        <v>4339.7533578503944</v>
      </c>
      <c r="T14" s="3">
        <f t="shared" ref="T14:AY14" si="41">S14*(1+$V$27)</f>
        <v>4383.1508914288988</v>
      </c>
      <c r="U14" s="3">
        <f t="shared" si="41"/>
        <v>4426.9824003431877</v>
      </c>
      <c r="V14" s="3">
        <f t="shared" si="41"/>
        <v>4471.2522243466192</v>
      </c>
      <c r="W14" s="3">
        <f t="shared" si="41"/>
        <v>4515.9647465900853</v>
      </c>
      <c r="X14" s="3">
        <f t="shared" si="41"/>
        <v>4561.1243940559862</v>
      </c>
      <c r="Y14" s="3">
        <f t="shared" si="41"/>
        <v>4606.7356379965458</v>
      </c>
      <c r="Z14" s="3">
        <f t="shared" si="41"/>
        <v>4652.8029943765114</v>
      </c>
      <c r="AA14" s="3">
        <f t="shared" si="41"/>
        <v>4699.3310243202768</v>
      </c>
      <c r="AB14" s="3">
        <f t="shared" si="41"/>
        <v>4746.3243345634792</v>
      </c>
      <c r="AC14" s="3">
        <f t="shared" si="41"/>
        <v>4793.7875779091137</v>
      </c>
      <c r="AD14" s="3">
        <f t="shared" si="41"/>
        <v>4841.7254536882047</v>
      </c>
      <c r="AE14" s="3">
        <f t="shared" si="41"/>
        <v>4890.1427082250866</v>
      </c>
      <c r="AF14" s="3">
        <f t="shared" si="41"/>
        <v>4939.0441353073375</v>
      </c>
      <c r="AG14" s="3">
        <f t="shared" si="41"/>
        <v>4988.434576660411</v>
      </c>
      <c r="AH14" s="3">
        <f t="shared" si="41"/>
        <v>5038.3189224270154</v>
      </c>
      <c r="AI14" s="3">
        <f t="shared" si="41"/>
        <v>5088.702111651286</v>
      </c>
      <c r="AJ14" s="3">
        <f t="shared" si="41"/>
        <v>5139.5891327677991</v>
      </c>
      <c r="AK14" s="3">
        <f t="shared" si="41"/>
        <v>5190.9850240954775</v>
      </c>
      <c r="AL14" s="3">
        <f t="shared" si="41"/>
        <v>5242.8948743364326</v>
      </c>
      <c r="AM14" s="3">
        <f t="shared" si="41"/>
        <v>5295.323823079797</v>
      </c>
      <c r="AN14" s="3">
        <f t="shared" si="41"/>
        <v>5348.2770613105949</v>
      </c>
      <c r="AO14" s="3">
        <f t="shared" si="41"/>
        <v>5401.7598319237013</v>
      </c>
      <c r="AP14" s="3">
        <f t="shared" si="41"/>
        <v>5455.777430242938</v>
      </c>
      <c r="AQ14" s="3">
        <f t="shared" si="41"/>
        <v>5510.3352045453676</v>
      </c>
      <c r="AR14" s="3">
        <f t="shared" si="41"/>
        <v>5565.4385565908215</v>
      </c>
      <c r="AS14" s="3">
        <f t="shared" si="41"/>
        <v>5621.0929421567298</v>
      </c>
      <c r="AT14" s="3">
        <f t="shared" si="41"/>
        <v>5677.3038715782968</v>
      </c>
      <c r="AU14" s="3">
        <f t="shared" si="41"/>
        <v>5734.0769102940794</v>
      </c>
      <c r="AV14" s="3">
        <f t="shared" si="41"/>
        <v>5791.41767939702</v>
      </c>
      <c r="AW14" s="3">
        <f t="shared" si="41"/>
        <v>5849.33185619099</v>
      </c>
      <c r="AX14" s="3">
        <f t="shared" si="41"/>
        <v>5907.8251747529002</v>
      </c>
      <c r="AY14" s="3">
        <f t="shared" si="41"/>
        <v>5966.9034265004293</v>
      </c>
      <c r="AZ14" s="3">
        <f t="shared" ref="AZ14:CH14" si="42">AY14*(1+$V$27)</f>
        <v>6026.5724607654338</v>
      </c>
      <c r="BA14" s="3">
        <f t="shared" si="42"/>
        <v>6086.838185373088</v>
      </c>
      <c r="BB14" s="3">
        <f t="shared" si="42"/>
        <v>6147.7065672268191</v>
      </c>
      <c r="BC14" s="3">
        <f t="shared" si="42"/>
        <v>6209.1836328990876</v>
      </c>
      <c r="BD14" s="3">
        <f t="shared" si="42"/>
        <v>6271.2754692280787</v>
      </c>
      <c r="BE14" s="3">
        <f t="shared" si="42"/>
        <v>6333.9882239203598</v>
      </c>
      <c r="BF14" s="3">
        <f t="shared" si="42"/>
        <v>6397.3281061595635</v>
      </c>
      <c r="BG14" s="3">
        <f t="shared" si="42"/>
        <v>6461.3013872211595</v>
      </c>
      <c r="BH14" s="3">
        <f t="shared" si="42"/>
        <v>6525.9144010933715</v>
      </c>
      <c r="BI14" s="3">
        <f t="shared" si="42"/>
        <v>6591.173545104305</v>
      </c>
      <c r="BJ14" s="3">
        <f t="shared" si="42"/>
        <v>6657.0852805553477</v>
      </c>
      <c r="BK14" s="3">
        <f t="shared" si="42"/>
        <v>6723.6561333609015</v>
      </c>
      <c r="BL14" s="3">
        <f t="shared" si="42"/>
        <v>6790.8926946945103</v>
      </c>
      <c r="BM14" s="3">
        <f t="shared" si="42"/>
        <v>6858.8016216414553</v>
      </c>
      <c r="BN14" s="3">
        <f t="shared" si="42"/>
        <v>6927.3896378578702</v>
      </c>
      <c r="BO14" s="3">
        <f t="shared" si="42"/>
        <v>6996.6635342364489</v>
      </c>
      <c r="BP14" s="3">
        <f t="shared" si="42"/>
        <v>7066.6301695788134</v>
      </c>
      <c r="BQ14" s="3">
        <f t="shared" si="42"/>
        <v>7137.2964712746016</v>
      </c>
      <c r="BR14" s="3">
        <f t="shared" si="42"/>
        <v>7208.6694359873472</v>
      </c>
      <c r="BS14" s="3">
        <f t="shared" si="42"/>
        <v>7280.7561303472212</v>
      </c>
      <c r="BT14" s="3">
        <f t="shared" si="42"/>
        <v>7353.5636916506937</v>
      </c>
      <c r="BU14" s="3">
        <f t="shared" si="42"/>
        <v>7427.0993285672012</v>
      </c>
      <c r="BV14" s="3">
        <f t="shared" si="42"/>
        <v>7501.3703218528735</v>
      </c>
      <c r="BW14" s="3">
        <f t="shared" si="42"/>
        <v>7576.384025071402</v>
      </c>
      <c r="BX14" s="3">
        <f t="shared" si="42"/>
        <v>7652.1478653221156</v>
      </c>
      <c r="BY14" s="3">
        <f t="shared" si="42"/>
        <v>7728.6693439753371</v>
      </c>
      <c r="BZ14" s="3">
        <f t="shared" si="42"/>
        <v>7805.9560374150906</v>
      </c>
      <c r="CA14" s="3">
        <f t="shared" si="42"/>
        <v>7884.0155977892418</v>
      </c>
      <c r="CB14" s="3">
        <f t="shared" si="42"/>
        <v>7962.855753767134</v>
      </c>
      <c r="CC14" s="3">
        <f t="shared" si="42"/>
        <v>8042.4843113048055</v>
      </c>
      <c r="CD14" s="3">
        <f t="shared" si="42"/>
        <v>8122.9091544178536</v>
      </c>
      <c r="CE14" s="3">
        <f t="shared" si="42"/>
        <v>8204.1382459620327</v>
      </c>
      <c r="CF14" s="3">
        <f t="shared" si="42"/>
        <v>8286.1796284216525</v>
      </c>
      <c r="CG14" s="3">
        <f t="shared" si="42"/>
        <v>8369.0414247058688</v>
      </c>
      <c r="CH14" s="3">
        <f t="shared" si="42"/>
        <v>8452.7318389529282</v>
      </c>
    </row>
    <row r="15" spans="1:86" x14ac:dyDescent="0.25">
      <c r="A15" s="1" t="s">
        <v>2</v>
      </c>
      <c r="B15" s="1">
        <v>593.48099999999999</v>
      </c>
      <c r="C15" s="1">
        <v>593.48099999999999</v>
      </c>
      <c r="D15" s="1">
        <v>593.48099999999999</v>
      </c>
      <c r="E15" s="1">
        <v>593.48099999999999</v>
      </c>
      <c r="F15" s="1">
        <v>593.48099999999999</v>
      </c>
      <c r="G15" s="1">
        <v>593.48099999999999</v>
      </c>
      <c r="H15" s="1">
        <v>593.48099999999999</v>
      </c>
      <c r="I15" s="1">
        <v>593.48099999999999</v>
      </c>
      <c r="M15" s="1">
        <v>593.48099999999999</v>
      </c>
      <c r="N15" s="1">
        <v>593.48099999999999</v>
      </c>
      <c r="O15" s="1">
        <v>593.48099999999999</v>
      </c>
      <c r="P15" s="1">
        <v>593.48099999999999</v>
      </c>
      <c r="Q15" s="1">
        <v>593.48099999999999</v>
      </c>
      <c r="R15" s="1">
        <v>593.48099999999999</v>
      </c>
      <c r="S15" s="1">
        <v>593.48099999999999</v>
      </c>
    </row>
    <row r="16" spans="1:86" x14ac:dyDescent="0.25">
      <c r="A16" s="1" t="s">
        <v>34</v>
      </c>
      <c r="B16" s="6">
        <f>B14/B15</f>
        <v>0.71510292663118047</v>
      </c>
      <c r="C16" s="6">
        <f>C14/C15</f>
        <v>0.53632719497338643</v>
      </c>
      <c r="D16" s="6">
        <f t="shared" ref="D16:I16" si="43">D14/D15</f>
        <v>0.64295141714730575</v>
      </c>
      <c r="E16" s="6">
        <f t="shared" si="43"/>
        <v>0.6995284078176065</v>
      </c>
      <c r="F16" s="6">
        <f t="shared" si="43"/>
        <v>1.0058476173289472</v>
      </c>
      <c r="G16" s="6">
        <f t="shared" si="43"/>
        <v>1.2804469980632944</v>
      </c>
      <c r="H16" s="6">
        <f t="shared" si="43"/>
        <v>1.7450264445442629</v>
      </c>
      <c r="I16" s="6">
        <f t="shared" si="43"/>
        <v>2.169368870498976</v>
      </c>
      <c r="J16" s="6"/>
      <c r="L16" s="6"/>
      <c r="M16" s="6">
        <f t="shared" ref="M16:R16" si="44">M14/M15</f>
        <v>1.939320719618659</v>
      </c>
      <c r="N16" s="6">
        <f t="shared" si="44"/>
        <v>2.5181487179233515</v>
      </c>
      <c r="O16" s="6">
        <f t="shared" si="44"/>
        <v>3.875987214832382</v>
      </c>
      <c r="P16" s="6">
        <f t="shared" si="44"/>
        <v>4.7105513383497186</v>
      </c>
      <c r="Q16" s="6">
        <f t="shared" si="44"/>
        <v>5.6915100917784747</v>
      </c>
      <c r="R16" s="6">
        <f t="shared" si="44"/>
        <v>6.8430584781134058</v>
      </c>
      <c r="S16" s="6">
        <f t="shared" ref="S16" si="45">S14/S15</f>
        <v>7.3123711759102559</v>
      </c>
    </row>
    <row r="17" spans="1:146" x14ac:dyDescent="0.25">
      <c r="L17" s="10"/>
      <c r="M17" s="10"/>
      <c r="N17" s="10"/>
      <c r="O17" s="10"/>
      <c r="P17" s="10"/>
      <c r="Q17" s="10"/>
      <c r="R17" s="10"/>
    </row>
    <row r="18" spans="1:146" x14ac:dyDescent="0.25">
      <c r="A18" s="3" t="s">
        <v>26</v>
      </c>
      <c r="B18" s="3"/>
      <c r="C18" s="3"/>
      <c r="D18" s="3"/>
      <c r="E18" s="3"/>
      <c r="F18" s="4">
        <f>F2/B2-1</f>
        <v>0.28949990904497236</v>
      </c>
      <c r="G18" s="4">
        <f>G2/C2-1</f>
        <v>0.61798400000000009</v>
      </c>
      <c r="H18" s="4">
        <f>H2/D2-1</f>
        <v>0.83167999999999997</v>
      </c>
      <c r="I18" s="4">
        <f>I2/E2-1</f>
        <v>1.0735999999999994</v>
      </c>
      <c r="J18" s="4"/>
      <c r="K18" s="3"/>
      <c r="M18" s="9">
        <f t="shared" ref="M18:S18" si="46">M2/L2-1</f>
        <v>1.1042198949939639</v>
      </c>
      <c r="N18" s="9">
        <f t="shared" si="46"/>
        <v>0.60115283003762698</v>
      </c>
      <c r="O18" s="9">
        <f t="shared" si="46"/>
        <v>0.45833333333333326</v>
      </c>
      <c r="P18" s="9">
        <f t="shared" si="46"/>
        <v>0.15999999999999992</v>
      </c>
      <c r="Q18" s="9">
        <f t="shared" si="46"/>
        <v>0.15999999999999992</v>
      </c>
      <c r="R18" s="9">
        <f t="shared" si="46"/>
        <v>0.15999999999999992</v>
      </c>
      <c r="S18" s="9">
        <f t="shared" si="46"/>
        <v>1.0000000000000009E-2</v>
      </c>
    </row>
    <row r="19" spans="1:146" x14ac:dyDescent="0.25">
      <c r="A19" s="1" t="s">
        <v>43</v>
      </c>
      <c r="B19" s="4"/>
      <c r="C19" s="4">
        <f>C2/B2-1</f>
        <v>-4.362472629274039E-2</v>
      </c>
      <c r="D19" s="4">
        <f>D2/C2-1</f>
        <v>6.0000000000000053E-2</v>
      </c>
      <c r="E19" s="4">
        <f>E2/D2-1</f>
        <v>6.0000000000000053E-2</v>
      </c>
      <c r="F19" s="4">
        <f t="shared" ref="F19:I19" si="47">F2/E2-1</f>
        <v>0.19999999999999996</v>
      </c>
      <c r="G19" s="4">
        <f t="shared" si="47"/>
        <v>0.19999999999999996</v>
      </c>
      <c r="H19" s="4">
        <f t="shared" si="47"/>
        <v>0.19999999999999996</v>
      </c>
      <c r="I19" s="4">
        <f t="shared" si="47"/>
        <v>0.19999999999999996</v>
      </c>
      <c r="J19" s="4"/>
    </row>
    <row r="20" spans="1:146" x14ac:dyDescent="0.25">
      <c r="A20" s="3" t="s">
        <v>9</v>
      </c>
      <c r="B20" s="9">
        <f>B4/B2</f>
        <v>0.13060468249957885</v>
      </c>
      <c r="C20" s="9">
        <f>C4/C2</f>
        <v>0.11801690736174716</v>
      </c>
      <c r="D20" s="9">
        <f>D4/D2</f>
        <v>0.12633750257531554</v>
      </c>
      <c r="E20" s="9">
        <f>E4/E2</f>
        <v>0.12633750257531565</v>
      </c>
      <c r="F20" s="9">
        <f t="shared" ref="F20:I20" si="48">F4/F2</f>
        <v>0.13361802338718801</v>
      </c>
      <c r="G20" s="9">
        <f t="shared" si="48"/>
        <v>0.13361802338718809</v>
      </c>
      <c r="H20" s="9">
        <f t="shared" si="48"/>
        <v>0.14083787319229482</v>
      </c>
      <c r="I20" s="9">
        <f t="shared" si="48"/>
        <v>0.14083787319229474</v>
      </c>
      <c r="J20" s="9"/>
      <c r="K20" s="3"/>
      <c r="L20" s="13">
        <f t="shared" ref="L20:M20" si="49">L4/L2</f>
        <v>0.18011062133250977</v>
      </c>
      <c r="M20" s="13">
        <f t="shared" si="49"/>
        <v>0.13752568515998195</v>
      </c>
      <c r="N20" s="13">
        <v>0.13750000000000001</v>
      </c>
      <c r="O20" s="13">
        <v>0.13750000000000001</v>
      </c>
      <c r="P20" s="13">
        <v>0.13750000000000001</v>
      </c>
      <c r="Q20" s="13">
        <v>0.13750000000000001</v>
      </c>
      <c r="R20" s="13">
        <v>0.13750000000000001</v>
      </c>
      <c r="S20" s="13">
        <v>0.13750000000000001</v>
      </c>
    </row>
    <row r="22" spans="1:146" x14ac:dyDescent="0.25">
      <c r="A22" s="1" t="s">
        <v>16</v>
      </c>
      <c r="B22" s="1">
        <v>409</v>
      </c>
      <c r="C22" s="1">
        <v>169.1</v>
      </c>
      <c r="K22" s="1">
        <v>-440.8</v>
      </c>
      <c r="L22" s="1">
        <v>663.5</v>
      </c>
      <c r="M22" s="1">
        <v>-2485.9</v>
      </c>
      <c r="N22" s="1">
        <f>N14*1.05</f>
        <v>1569.197090224962</v>
      </c>
      <c r="O22" s="1">
        <f t="shared" ref="O22:S22" si="50">O14*1.05</f>
        <v>2415.3410066582337</v>
      </c>
      <c r="P22" s="1">
        <f t="shared" si="50"/>
        <v>2935.403854776886</v>
      </c>
      <c r="Q22" s="1">
        <f t="shared" si="50"/>
        <v>3546.69325581772</v>
      </c>
      <c r="R22" s="1">
        <f t="shared" si="50"/>
        <v>4264.2864480816834</v>
      </c>
      <c r="S22" s="1">
        <f t="shared" si="50"/>
        <v>4556.7410257429146</v>
      </c>
    </row>
    <row r="23" spans="1:146" x14ac:dyDescent="0.25">
      <c r="A23" s="1" t="s">
        <v>17</v>
      </c>
      <c r="B23" s="1">
        <v>44.3</v>
      </c>
      <c r="C23" s="1">
        <v>71.8</v>
      </c>
      <c r="K23" s="1">
        <v>-46</v>
      </c>
      <c r="L23" s="1">
        <v>-39.5</v>
      </c>
      <c r="M23" s="1">
        <v>-194.2</v>
      </c>
      <c r="N23" s="1">
        <f>M23*(1+N18)</f>
        <v>-310.94387959330714</v>
      </c>
      <c r="O23" s="1">
        <f t="shared" ref="O23:S23" si="51">N23*(1+O18)</f>
        <v>-453.45982440690625</v>
      </c>
      <c r="P23" s="1">
        <f t="shared" si="51"/>
        <v>-526.0133963120112</v>
      </c>
      <c r="Q23" s="1">
        <f t="shared" si="51"/>
        <v>-610.17553972193298</v>
      </c>
      <c r="R23" s="1">
        <f t="shared" si="51"/>
        <v>-707.80362607744223</v>
      </c>
      <c r="S23" s="1">
        <f t="shared" si="51"/>
        <v>-714.88166233821664</v>
      </c>
    </row>
    <row r="24" spans="1:146" x14ac:dyDescent="0.25">
      <c r="A24" s="1" t="s">
        <v>15</v>
      </c>
      <c r="B24" s="1">
        <f>B22-B23</f>
        <v>364.7</v>
      </c>
      <c r="C24" s="1">
        <f>C22-C23</f>
        <v>97.3</v>
      </c>
      <c r="D24" s="1">
        <f t="shared" ref="D24:I24" si="52">D22-D23</f>
        <v>0</v>
      </c>
      <c r="E24" s="1">
        <f t="shared" si="52"/>
        <v>0</v>
      </c>
      <c r="F24" s="1">
        <f t="shared" si="52"/>
        <v>0</v>
      </c>
      <c r="G24" s="1">
        <f t="shared" si="52"/>
        <v>0</v>
      </c>
      <c r="H24" s="1">
        <f t="shared" si="52"/>
        <v>0</v>
      </c>
      <c r="I24" s="1">
        <f t="shared" si="52"/>
        <v>0</v>
      </c>
      <c r="K24" s="1">
        <f>K22+K23</f>
        <v>-486.8</v>
      </c>
      <c r="L24" s="1">
        <f>L22+L23</f>
        <v>624</v>
      </c>
      <c r="M24" s="1">
        <f>M22+M23</f>
        <v>-2680.1</v>
      </c>
      <c r="N24" s="1">
        <f t="shared" ref="N24:S24" si="53">N22+N23</f>
        <v>1258.2532106316548</v>
      </c>
      <c r="O24" s="1">
        <f t="shared" si="53"/>
        <v>1961.8811822513276</v>
      </c>
      <c r="P24" s="1">
        <f t="shared" si="53"/>
        <v>2409.3904584648749</v>
      </c>
      <c r="Q24" s="1">
        <f t="shared" si="53"/>
        <v>2936.5177160957869</v>
      </c>
      <c r="R24" s="1">
        <f t="shared" si="53"/>
        <v>3556.4828220042409</v>
      </c>
      <c r="S24" s="1">
        <f t="shared" si="53"/>
        <v>3841.8593634046979</v>
      </c>
      <c r="T24" s="1">
        <f t="shared" ref="T24:AY24" si="54">S24*(1+$V$27)</f>
        <v>3880.2779570387447</v>
      </c>
      <c r="U24" s="1">
        <f t="shared" si="54"/>
        <v>3919.0807366091321</v>
      </c>
      <c r="V24" s="1">
        <f t="shared" si="54"/>
        <v>3958.2715439752237</v>
      </c>
      <c r="W24" s="1">
        <f t="shared" si="54"/>
        <v>3997.8542594149758</v>
      </c>
      <c r="X24" s="1">
        <f t="shared" si="54"/>
        <v>4037.8328020091258</v>
      </c>
      <c r="Y24" s="1">
        <f t="shared" si="54"/>
        <v>4078.2111300292172</v>
      </c>
      <c r="Z24" s="1">
        <f t="shared" si="54"/>
        <v>4118.9932413295091</v>
      </c>
      <c r="AA24" s="1">
        <f t="shared" si="54"/>
        <v>4160.1831737428047</v>
      </c>
      <c r="AB24" s="1">
        <f t="shared" si="54"/>
        <v>4201.7850054802329</v>
      </c>
      <c r="AC24" s="1">
        <f t="shared" si="54"/>
        <v>4243.8028555350356</v>
      </c>
      <c r="AD24" s="1">
        <f t="shared" si="54"/>
        <v>4286.2408840903863</v>
      </c>
      <c r="AE24" s="1">
        <f t="shared" si="54"/>
        <v>4329.1032929312905</v>
      </c>
      <c r="AF24" s="1">
        <f t="shared" si="54"/>
        <v>4372.3943258606032</v>
      </c>
      <c r="AG24" s="1">
        <f t="shared" si="54"/>
        <v>4416.1182691192089</v>
      </c>
      <c r="AH24" s="1">
        <f t="shared" si="54"/>
        <v>4460.279451810401</v>
      </c>
      <c r="AI24" s="1">
        <f t="shared" si="54"/>
        <v>4504.8822463285051</v>
      </c>
      <c r="AJ24" s="1">
        <f t="shared" si="54"/>
        <v>4549.9310687917905</v>
      </c>
      <c r="AK24" s="1">
        <f t="shared" si="54"/>
        <v>4595.4303794797088</v>
      </c>
      <c r="AL24" s="1">
        <f t="shared" si="54"/>
        <v>4641.3846832745057</v>
      </c>
      <c r="AM24" s="1">
        <f t="shared" si="54"/>
        <v>4687.7985301072513</v>
      </c>
      <c r="AN24" s="1">
        <f t="shared" si="54"/>
        <v>4734.6765154083241</v>
      </c>
      <c r="AO24" s="1">
        <f t="shared" si="54"/>
        <v>4782.0232805624073</v>
      </c>
      <c r="AP24" s="1">
        <f t="shared" si="54"/>
        <v>4829.8435133680314</v>
      </c>
      <c r="AQ24" s="1">
        <f t="shared" si="54"/>
        <v>4878.1419485017113</v>
      </c>
      <c r="AR24" s="1">
        <f t="shared" si="54"/>
        <v>4926.9233679867284</v>
      </c>
      <c r="AS24" s="1">
        <f t="shared" si="54"/>
        <v>4976.1926016665957</v>
      </c>
      <c r="AT24" s="1">
        <f t="shared" si="54"/>
        <v>5025.9545276832614</v>
      </c>
      <c r="AU24" s="1">
        <f t="shared" si="54"/>
        <v>5076.2140729600942</v>
      </c>
      <c r="AV24" s="1">
        <f t="shared" si="54"/>
        <v>5126.9762136896952</v>
      </c>
      <c r="AW24" s="1">
        <f t="shared" si="54"/>
        <v>5178.2459758265923</v>
      </c>
      <c r="AX24" s="1">
        <f t="shared" si="54"/>
        <v>5230.028435584858</v>
      </c>
      <c r="AY24" s="1">
        <f t="shared" si="54"/>
        <v>5282.3287199407068</v>
      </c>
      <c r="AZ24" s="1">
        <f t="shared" ref="AZ24:CE24" si="55">AY24*(1+$V$27)</f>
        <v>5335.1520071401137</v>
      </c>
      <c r="BA24" s="1">
        <f t="shared" si="55"/>
        <v>5388.5035272115147</v>
      </c>
      <c r="BB24" s="1">
        <f t="shared" si="55"/>
        <v>5442.3885624836303</v>
      </c>
      <c r="BC24" s="1">
        <f t="shared" si="55"/>
        <v>5496.8124481084669</v>
      </c>
      <c r="BD24" s="1">
        <f t="shared" si="55"/>
        <v>5551.7805725895514</v>
      </c>
      <c r="BE24" s="1">
        <f t="shared" si="55"/>
        <v>5607.2983783154468</v>
      </c>
      <c r="BF24" s="1">
        <f t="shared" si="55"/>
        <v>5663.3713620986009</v>
      </c>
      <c r="BG24" s="1">
        <f t="shared" si="55"/>
        <v>5720.0050757195868</v>
      </c>
      <c r="BH24" s="1">
        <f t="shared" si="55"/>
        <v>5777.2051264767824</v>
      </c>
      <c r="BI24" s="1">
        <f t="shared" si="55"/>
        <v>5834.9771777415499</v>
      </c>
      <c r="BJ24" s="1">
        <f t="shared" si="55"/>
        <v>5893.3269495189652</v>
      </c>
      <c r="BK24" s="1">
        <f t="shared" si="55"/>
        <v>5952.2602190141552</v>
      </c>
      <c r="BL24" s="1">
        <f t="shared" si="55"/>
        <v>6011.7828212042969</v>
      </c>
      <c r="BM24" s="1">
        <f t="shared" si="55"/>
        <v>6071.9006494163395</v>
      </c>
      <c r="BN24" s="1">
        <f t="shared" si="55"/>
        <v>6132.6196559105028</v>
      </c>
      <c r="BO24" s="1">
        <f t="shared" si="55"/>
        <v>6193.9458524696083</v>
      </c>
      <c r="BP24" s="1">
        <f t="shared" si="55"/>
        <v>6255.8853109943047</v>
      </c>
      <c r="BQ24" s="1">
        <f t="shared" si="55"/>
        <v>6318.4441641042476</v>
      </c>
      <c r="BR24" s="1">
        <f t="shared" si="55"/>
        <v>6381.6286057452899</v>
      </c>
      <c r="BS24" s="1">
        <f t="shared" si="55"/>
        <v>6445.4448918027429</v>
      </c>
      <c r="BT24" s="1">
        <f t="shared" si="55"/>
        <v>6509.8993407207699</v>
      </c>
      <c r="BU24" s="1">
        <f t="shared" si="55"/>
        <v>6574.9983341279776</v>
      </c>
      <c r="BV24" s="1">
        <f t="shared" si="55"/>
        <v>6640.748317469257</v>
      </c>
      <c r="BW24" s="1">
        <f t="shared" si="55"/>
        <v>6707.15580064395</v>
      </c>
      <c r="BX24" s="1">
        <f t="shared" si="55"/>
        <v>6774.2273586503898</v>
      </c>
      <c r="BY24" s="1">
        <f t="shared" si="55"/>
        <v>6841.9696322368936</v>
      </c>
      <c r="BZ24" s="1">
        <f t="shared" si="55"/>
        <v>6910.389328559263</v>
      </c>
      <c r="CA24" s="1">
        <f t="shared" si="55"/>
        <v>6979.4932218448557</v>
      </c>
      <c r="CB24" s="1">
        <f t="shared" si="55"/>
        <v>7049.2881540633043</v>
      </c>
      <c r="CC24" s="1">
        <f t="shared" si="55"/>
        <v>7119.7810356039372</v>
      </c>
      <c r="CD24" s="1">
        <f t="shared" si="55"/>
        <v>7190.9788459599768</v>
      </c>
      <c r="CE24" s="1">
        <f t="shared" si="55"/>
        <v>7262.8886344195762</v>
      </c>
      <c r="CF24" s="1">
        <f t="shared" ref="CF24:DK24" si="56">CE24*(1+$V$27)</f>
        <v>7335.5175207637722</v>
      </c>
      <c r="CG24" s="1">
        <f t="shared" si="56"/>
        <v>7408.8726959714104</v>
      </c>
      <c r="CH24" s="1">
        <f t="shared" si="56"/>
        <v>7482.9614229311246</v>
      </c>
      <c r="CI24" s="1">
        <f t="shared" si="56"/>
        <v>7557.7910371604357</v>
      </c>
      <c r="CJ24" s="1">
        <f t="shared" si="56"/>
        <v>7633.3689475320398</v>
      </c>
      <c r="CK24" s="1">
        <f t="shared" si="56"/>
        <v>7709.70263700736</v>
      </c>
      <c r="CL24" s="1">
        <f t="shared" si="56"/>
        <v>7786.7996633774337</v>
      </c>
      <c r="CM24" s="1">
        <f t="shared" si="56"/>
        <v>7864.6676600112078</v>
      </c>
      <c r="CN24" s="1">
        <f t="shared" si="56"/>
        <v>7943.31433661132</v>
      </c>
      <c r="CO24" s="1">
        <f t="shared" si="56"/>
        <v>8022.7474799774336</v>
      </c>
      <c r="CP24" s="1">
        <f t="shared" si="56"/>
        <v>8102.974954777208</v>
      </c>
      <c r="CQ24" s="1">
        <f t="shared" si="56"/>
        <v>8184.0047043249806</v>
      </c>
      <c r="CR24" s="1">
        <f t="shared" si="56"/>
        <v>8265.8447513682313</v>
      </c>
      <c r="CS24" s="1">
        <f t="shared" si="56"/>
        <v>8348.5031988819137</v>
      </c>
      <c r="CT24" s="1">
        <f t="shared" si="56"/>
        <v>8431.9882308707329</v>
      </c>
      <c r="CU24" s="1">
        <f t="shared" si="56"/>
        <v>8516.3081131794406</v>
      </c>
      <c r="CV24" s="1">
        <f t="shared" si="56"/>
        <v>8601.4711943112343</v>
      </c>
      <c r="CW24" s="1">
        <f t="shared" si="56"/>
        <v>8687.4859062543474</v>
      </c>
      <c r="CX24" s="1">
        <f t="shared" si="56"/>
        <v>8774.360765316891</v>
      </c>
      <c r="CY24" s="1">
        <f t="shared" si="56"/>
        <v>8862.1043729700596</v>
      </c>
      <c r="CZ24" s="1">
        <f t="shared" si="56"/>
        <v>8950.7254166997609</v>
      </c>
      <c r="DA24" s="1">
        <f t="shared" si="56"/>
        <v>9040.2326708667588</v>
      </c>
      <c r="DB24" s="1">
        <f t="shared" si="56"/>
        <v>9130.6349975754256</v>
      </c>
      <c r="DC24" s="1">
        <f t="shared" si="56"/>
        <v>9221.9413475511792</v>
      </c>
      <c r="DD24" s="1">
        <f t="shared" si="56"/>
        <v>9314.160761026691</v>
      </c>
      <c r="DE24" s="1">
        <f t="shared" si="56"/>
        <v>9407.3023686369579</v>
      </c>
      <c r="DF24" s="1">
        <f t="shared" si="56"/>
        <v>9501.3753923233271</v>
      </c>
      <c r="DG24" s="1">
        <f t="shared" si="56"/>
        <v>9596.3891462465599</v>
      </c>
      <c r="DH24" s="1">
        <f t="shared" si="56"/>
        <v>9692.3530377090265</v>
      </c>
      <c r="DI24" s="1">
        <f t="shared" si="56"/>
        <v>9789.2765680861175</v>
      </c>
      <c r="DJ24" s="1">
        <f t="shared" si="56"/>
        <v>9887.1693337669785</v>
      </c>
      <c r="DK24" s="1">
        <f t="shared" si="56"/>
        <v>9986.0410271046476</v>
      </c>
      <c r="DL24" s="1">
        <f t="shared" ref="DL24:EP24" si="57">DK24*(1+$V$27)</f>
        <v>10085.901437375695</v>
      </c>
      <c r="DM24" s="1">
        <f t="shared" si="57"/>
        <v>10186.760451749451</v>
      </c>
      <c r="DN24" s="1">
        <f t="shared" si="57"/>
        <v>10288.628056266945</v>
      </c>
      <c r="DO24" s="1">
        <f t="shared" si="57"/>
        <v>10391.514336829616</v>
      </c>
      <c r="DP24" s="1">
        <f t="shared" si="57"/>
        <v>10495.429480197912</v>
      </c>
      <c r="DQ24" s="1">
        <f t="shared" si="57"/>
        <v>10600.383774999891</v>
      </c>
      <c r="DR24" s="1">
        <f t="shared" si="57"/>
        <v>10706.38761274989</v>
      </c>
      <c r="DS24" s="1">
        <f t="shared" si="57"/>
        <v>10813.451488877388</v>
      </c>
      <c r="DT24" s="1">
        <f t="shared" si="57"/>
        <v>10921.586003766162</v>
      </c>
      <c r="DU24" s="1">
        <f t="shared" si="57"/>
        <v>11030.801863803825</v>
      </c>
      <c r="DV24" s="1">
        <f t="shared" si="57"/>
        <v>11141.109882441862</v>
      </c>
      <c r="DW24" s="1">
        <f t="shared" si="57"/>
        <v>11252.520981266282</v>
      </c>
      <c r="DX24" s="1">
        <f t="shared" si="57"/>
        <v>11365.046191078944</v>
      </c>
      <c r="DY24" s="1">
        <f t="shared" si="57"/>
        <v>11478.696652989733</v>
      </c>
      <c r="DZ24" s="1">
        <f t="shared" si="57"/>
        <v>11593.483619519629</v>
      </c>
      <c r="EA24" s="1">
        <f t="shared" si="57"/>
        <v>11709.418455714826</v>
      </c>
      <c r="EB24" s="1">
        <f t="shared" si="57"/>
        <v>11826.512640271974</v>
      </c>
      <c r="EC24" s="1">
        <f t="shared" si="57"/>
        <v>11944.777766674693</v>
      </c>
      <c r="ED24" s="1">
        <f t="shared" si="57"/>
        <v>12064.22554434144</v>
      </c>
      <c r="EE24" s="1">
        <f t="shared" si="57"/>
        <v>12184.867799784854</v>
      </c>
      <c r="EF24" s="1">
        <f t="shared" si="57"/>
        <v>12306.716477782702</v>
      </c>
      <c r="EG24" s="1">
        <f t="shared" si="57"/>
        <v>12429.783642560529</v>
      </c>
      <c r="EH24" s="1">
        <f t="shared" si="57"/>
        <v>12554.081478986134</v>
      </c>
      <c r="EI24" s="1">
        <f t="shared" si="57"/>
        <v>12679.622293775996</v>
      </c>
      <c r="EJ24" s="1">
        <f t="shared" si="57"/>
        <v>12806.418516713757</v>
      </c>
      <c r="EK24" s="1">
        <f t="shared" si="57"/>
        <v>12934.482701880894</v>
      </c>
      <c r="EL24" s="1">
        <f t="shared" si="57"/>
        <v>13063.827528899703</v>
      </c>
      <c r="EM24" s="1">
        <f t="shared" si="57"/>
        <v>13194.4658041887</v>
      </c>
      <c r="EN24" s="1">
        <f t="shared" si="57"/>
        <v>13326.410462230586</v>
      </c>
      <c r="EO24" s="1">
        <f t="shared" si="57"/>
        <v>13459.674566852891</v>
      </c>
      <c r="EP24" s="1">
        <f t="shared" si="57"/>
        <v>13594.27131252142</v>
      </c>
    </row>
    <row r="25" spans="1:146" x14ac:dyDescent="0.25">
      <c r="A25" s="1" t="s">
        <v>36</v>
      </c>
      <c r="B25" s="10">
        <f>B24/B2</f>
        <v>6.1428330806804779E-2</v>
      </c>
      <c r="C25" s="10">
        <f>C24/C2</f>
        <v>1.7136315604085944E-2</v>
      </c>
      <c r="D25" s="10">
        <v>6.2E-2</v>
      </c>
      <c r="E25" s="10">
        <v>6.2E-2</v>
      </c>
      <c r="F25" s="10">
        <v>6.2E-2</v>
      </c>
      <c r="G25" s="10">
        <v>6.5000000000000002E-2</v>
      </c>
      <c r="H25" s="10">
        <v>6.5000000000000002E-2</v>
      </c>
      <c r="I25" s="10">
        <v>6.5000000000000002E-2</v>
      </c>
      <c r="J25" s="10"/>
      <c r="K25" s="10" t="e">
        <f t="shared" ref="K25:S25" si="58">K24/K14</f>
        <v>#DIV/0!</v>
      </c>
      <c r="L25" s="10">
        <f t="shared" si="58"/>
        <v>0.95905569900405752</v>
      </c>
      <c r="M25" s="10">
        <f t="shared" si="58"/>
        <v>-2.3285981146009789</v>
      </c>
      <c r="N25" s="10">
        <f t="shared" si="58"/>
        <v>0.84193749745854662</v>
      </c>
      <c r="O25" s="10">
        <f t="shared" si="58"/>
        <v>0.85287138987218658</v>
      </c>
      <c r="P25" s="10">
        <f t="shared" si="58"/>
        <v>0.86184392558836098</v>
      </c>
      <c r="Q25" s="10">
        <f t="shared" si="58"/>
        <v>0.86935728000804668</v>
      </c>
      <c r="R25" s="10">
        <f t="shared" si="58"/>
        <v>0.87571672507703013</v>
      </c>
      <c r="S25" s="10">
        <f t="shared" si="58"/>
        <v>0.88527136143692786</v>
      </c>
    </row>
    <row r="26" spans="1:146" x14ac:dyDescent="0.25">
      <c r="U26" s="1" t="s">
        <v>52</v>
      </c>
      <c r="V26" s="4">
        <v>0.06</v>
      </c>
    </row>
    <row r="27" spans="1:146" x14ac:dyDescent="0.25">
      <c r="A27" s="3" t="s">
        <v>19</v>
      </c>
      <c r="B27" s="12">
        <f>B14/B2</f>
        <v>7.1483914434899723E-2</v>
      </c>
      <c r="C27" s="12">
        <f>C14/C2</f>
        <v>5.6058471292708766E-2</v>
      </c>
      <c r="D27" s="12">
        <f>D14/D2</f>
        <v>6.3399192181674419E-2</v>
      </c>
      <c r="E27" s="12">
        <f>E14/E2</f>
        <v>6.5073633490249541E-2</v>
      </c>
      <c r="F27" s="12">
        <f t="shared" ref="F27:I27" si="59">F14/F2</f>
        <v>7.7974149519422928E-2</v>
      </c>
      <c r="G27" s="12">
        <f t="shared" si="59"/>
        <v>8.271776953635035E-2</v>
      </c>
      <c r="H27" s="12">
        <f t="shared" si="59"/>
        <v>9.3941604958381636E-2</v>
      </c>
      <c r="I27" s="12">
        <f t="shared" si="59"/>
        <v>9.7321349139902258E-2</v>
      </c>
      <c r="J27" s="12"/>
      <c r="K27" s="9"/>
      <c r="L27" s="12">
        <f t="shared" ref="L27:S27" si="60">L14/L2</f>
        <v>9.1338405817446733E-2</v>
      </c>
      <c r="M27" s="12">
        <f t="shared" si="60"/>
        <v>7.6785285405492051E-2</v>
      </c>
      <c r="N27" s="12">
        <f t="shared" si="60"/>
        <v>6.2269725802577849E-2</v>
      </c>
      <c r="O27" s="12">
        <f t="shared" si="60"/>
        <v>6.5723564807026763E-2</v>
      </c>
      <c r="P27" s="12">
        <f t="shared" si="60"/>
        <v>6.8857702434362789E-2</v>
      </c>
      <c r="Q27" s="12">
        <f t="shared" si="60"/>
        <v>7.1721655783480137E-2</v>
      </c>
      <c r="R27" s="12">
        <f t="shared" si="60"/>
        <v>7.4338716602501256E-2</v>
      </c>
      <c r="S27" s="12">
        <f t="shared" si="60"/>
        <v>7.8650531541264446E-2</v>
      </c>
      <c r="U27" s="1" t="s">
        <v>12</v>
      </c>
      <c r="V27" s="4">
        <v>0.01</v>
      </c>
    </row>
    <row r="28" spans="1:146" x14ac:dyDescent="0.25">
      <c r="A28" s="1" t="s">
        <v>42</v>
      </c>
      <c r="B28" s="10">
        <f>B13/B9</f>
        <v>0.14670070699135909</v>
      </c>
      <c r="C28" s="10">
        <f>C13/C9</f>
        <v>0.15428416485900201</v>
      </c>
      <c r="D28" s="10">
        <v>0.15</v>
      </c>
      <c r="E28" s="10">
        <v>0.15</v>
      </c>
      <c r="F28" s="10">
        <v>0.15</v>
      </c>
      <c r="G28" s="10">
        <v>0.15</v>
      </c>
      <c r="H28" s="10">
        <v>0.15</v>
      </c>
      <c r="I28" s="10">
        <v>0.15</v>
      </c>
      <c r="J28" s="10"/>
      <c r="L28" s="10">
        <f>L13/L9</f>
        <v>0.14528926488361094</v>
      </c>
      <c r="M28" s="10">
        <f>M13/M9</f>
        <v>5.2275167230985152E-2</v>
      </c>
      <c r="N28" s="10">
        <v>0.21</v>
      </c>
      <c r="O28" s="10">
        <v>0.21</v>
      </c>
      <c r="P28" s="10">
        <v>0.21</v>
      </c>
      <c r="Q28" s="10">
        <v>0.21</v>
      </c>
      <c r="R28" s="10">
        <v>0.21</v>
      </c>
      <c r="S28" s="10">
        <v>0.21</v>
      </c>
      <c r="U28" s="1" t="s">
        <v>10</v>
      </c>
      <c r="V28" s="11">
        <v>0.09</v>
      </c>
    </row>
    <row r="29" spans="1:146" x14ac:dyDescent="0.25">
      <c r="U29" s="1" t="s">
        <v>13</v>
      </c>
      <c r="V29" s="1">
        <f>NPV(V28,N24:EY24)+main!I5-main!I6</f>
        <v>39655.907057417513</v>
      </c>
    </row>
    <row r="30" spans="1:146" x14ac:dyDescent="0.25">
      <c r="A30" s="1" t="s">
        <v>53</v>
      </c>
      <c r="C30" s="1">
        <f>C32-C34</f>
        <v>-612</v>
      </c>
      <c r="K30" s="4"/>
      <c r="M30" s="1">
        <f>M32-M34</f>
        <v>-372.23399999999992</v>
      </c>
      <c r="N30" s="1">
        <f>M30+N14</f>
        <v>1122.2394192618685</v>
      </c>
      <c r="O30" s="1">
        <f t="shared" ref="O30:S30" si="61">N30+O14</f>
        <v>3422.5641875078054</v>
      </c>
      <c r="P30" s="1">
        <f t="shared" si="61"/>
        <v>6218.1869063429349</v>
      </c>
      <c r="Q30" s="1">
        <f t="shared" si="61"/>
        <v>9595.9900071217162</v>
      </c>
      <c r="R30" s="1">
        <f t="shared" si="61"/>
        <v>13657.215195770939</v>
      </c>
      <c r="S30" s="1">
        <f t="shared" si="61"/>
        <v>17996.968553621333</v>
      </c>
      <c r="U30" s="1" t="s">
        <v>1</v>
      </c>
      <c r="V30" s="5">
        <f>V29/main!I3</f>
        <v>66.819168696921238</v>
      </c>
    </row>
    <row r="31" spans="1:146" x14ac:dyDescent="0.25">
      <c r="K31" s="11"/>
      <c r="U31" s="1" t="s">
        <v>14</v>
      </c>
      <c r="V31" s="4">
        <f>V30/main!I2-1</f>
        <v>1.3041092654110771</v>
      </c>
    </row>
    <row r="32" spans="1:146" x14ac:dyDescent="0.25">
      <c r="A32" s="1" t="s">
        <v>4</v>
      </c>
      <c r="C32" s="1">
        <v>1430</v>
      </c>
      <c r="M32" s="1">
        <v>1669.7660000000001</v>
      </c>
      <c r="V32" s="6"/>
    </row>
    <row r="33" spans="1:22" x14ac:dyDescent="0.25">
      <c r="U33" s="1" t="s">
        <v>50</v>
      </c>
      <c r="V33" s="6">
        <f>main!I2/model!N16</f>
        <v>11.516396864723506</v>
      </c>
    </row>
    <row r="34" spans="1:22" x14ac:dyDescent="0.25">
      <c r="A34" s="1" t="s">
        <v>5</v>
      </c>
      <c r="C34" s="1">
        <v>2042</v>
      </c>
      <c r="M34" s="1">
        <v>2042</v>
      </c>
      <c r="V34" s="6">
        <f>main!I2/model!O16</f>
        <v>7.4819648240903991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2025-02-12T01:52:33Z</dcterms:created>
  <dcterms:modified xsi:type="dcterms:W3CDTF">2025-04-22T01:10:52Z</dcterms:modified>
</cp:coreProperties>
</file>