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D206CCC-6A63-4B66-82DB-9C681B6CEF47}" xr6:coauthVersionLast="47" xr6:coauthVersionMax="47" xr10:uidLastSave="{00000000-0000-0000-0000-000000000000}"/>
  <bookViews>
    <workbookView xWindow="5565" yWindow="960" windowWidth="20805" windowHeight="14520" activeTab="1" xr2:uid="{5D77292D-10E0-4CAF-8203-C26E2893D9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2" l="1"/>
  <c r="I2" i="2"/>
  <c r="J2" i="2" s="1"/>
  <c r="K2" i="2" s="1"/>
  <c r="L2" i="2" s="1"/>
  <c r="M2" i="2" s="1"/>
  <c r="N2" i="2" s="1"/>
  <c r="O2" i="2" s="1"/>
  <c r="P2" i="2" s="1"/>
  <c r="Q2" i="2" s="1"/>
  <c r="D11" i="2"/>
  <c r="D10" i="2"/>
  <c r="D9" i="2"/>
  <c r="E9" i="2" s="1"/>
  <c r="F9" i="2" s="1"/>
  <c r="D8" i="2"/>
  <c r="D12" i="2" s="1"/>
  <c r="D6" i="2"/>
  <c r="E6" i="2" s="1"/>
  <c r="F6" i="2" s="1"/>
  <c r="D5" i="2"/>
  <c r="E5" i="2" s="1"/>
  <c r="F5" i="2" s="1"/>
  <c r="D4" i="2"/>
  <c r="E4" i="2" s="1"/>
  <c r="F4" i="2" s="1"/>
  <c r="C12" i="2"/>
  <c r="C7" i="2"/>
  <c r="C46" i="2"/>
  <c r="C58" i="2" s="1"/>
  <c r="C25" i="2"/>
  <c r="C43" i="2" s="1"/>
  <c r="C60" i="2" s="1"/>
  <c r="O2" i="1"/>
  <c r="N4" i="1"/>
  <c r="M3" i="1"/>
  <c r="O3" i="1" s="1"/>
  <c r="M4" i="1" l="1"/>
  <c r="O4" i="1"/>
  <c r="H4" i="2"/>
  <c r="I4" i="2" s="1"/>
  <c r="J4" i="2" s="1"/>
  <c r="K4" i="2" s="1"/>
  <c r="L4" i="2" s="1"/>
  <c r="M4" i="2" s="1"/>
  <c r="N4" i="2" s="1"/>
  <c r="O4" i="2" s="1"/>
  <c r="P4" i="2" s="1"/>
  <c r="Q4" i="2" s="1"/>
  <c r="F7" i="2"/>
  <c r="E7" i="2"/>
  <c r="D7" i="2"/>
  <c r="D18" i="2" s="1"/>
  <c r="H6" i="2"/>
  <c r="I6" i="2" s="1"/>
  <c r="J6" i="2" s="1"/>
  <c r="K6" i="2" s="1"/>
  <c r="L6" i="2" s="1"/>
  <c r="M6" i="2" s="1"/>
  <c r="N6" i="2" s="1"/>
  <c r="O6" i="2" s="1"/>
  <c r="P6" i="2" s="1"/>
  <c r="Q6" i="2" s="1"/>
  <c r="H5" i="2"/>
  <c r="I5" i="2" s="1"/>
  <c r="J5" i="2" s="1"/>
  <c r="K5" i="2" s="1"/>
  <c r="L5" i="2" s="1"/>
  <c r="M5" i="2" s="1"/>
  <c r="N5" i="2" s="1"/>
  <c r="O5" i="2" s="1"/>
  <c r="P5" i="2" s="1"/>
  <c r="Q5" i="2" s="1"/>
  <c r="E11" i="2"/>
  <c r="F11" i="2" s="1"/>
  <c r="E10" i="2"/>
  <c r="F10" i="2" s="1"/>
  <c r="H9" i="2"/>
  <c r="E8" i="2"/>
  <c r="C13" i="2"/>
  <c r="C20" i="2" s="1"/>
  <c r="C63" i="2"/>
  <c r="C61" i="2"/>
  <c r="C64" i="2" s="1"/>
  <c r="E18" i="2" l="1"/>
  <c r="F18" i="2"/>
  <c r="J7" i="2"/>
  <c r="J12" i="2" s="1"/>
  <c r="F8" i="2"/>
  <c r="F12" i="2" s="1"/>
  <c r="F13" i="2" s="1"/>
  <c r="E12" i="2"/>
  <c r="E13" i="2" s="1"/>
  <c r="H7" i="2"/>
  <c r="D13" i="2"/>
  <c r="I7" i="2"/>
  <c r="H11" i="2"/>
  <c r="H10" i="2"/>
  <c r="C15" i="2"/>
  <c r="D14" i="2" l="1"/>
  <c r="D20" i="2"/>
  <c r="I17" i="2"/>
  <c r="I12" i="2"/>
  <c r="E14" i="2"/>
  <c r="E15" i="2" s="1"/>
  <c r="E20" i="2"/>
  <c r="F14" i="2"/>
  <c r="F15" i="2" s="1"/>
  <c r="F20" i="2"/>
  <c r="J17" i="2"/>
  <c r="D15" i="2"/>
  <c r="H14" i="2"/>
  <c r="K7" i="2"/>
  <c r="H8" i="2"/>
  <c r="K17" i="2" l="1"/>
  <c r="K12" i="2"/>
  <c r="H12" i="2"/>
  <c r="H13" i="2" s="1"/>
  <c r="L7" i="2"/>
  <c r="L17" i="2" l="1"/>
  <c r="L12" i="2"/>
  <c r="H15" i="2"/>
  <c r="H20" i="2"/>
  <c r="M7" i="2"/>
  <c r="I13" i="2"/>
  <c r="I14" i="2" s="1"/>
  <c r="M17" i="2" l="1"/>
  <c r="M12" i="2"/>
  <c r="I15" i="2"/>
  <c r="J13" i="2"/>
  <c r="N7" i="2"/>
  <c r="J14" i="2" l="1"/>
  <c r="J15" i="2" s="1"/>
  <c r="N17" i="2"/>
  <c r="N12" i="2"/>
  <c r="O7" i="2"/>
  <c r="K13" i="2"/>
  <c r="K14" i="2" l="1"/>
  <c r="K15" i="2" s="1"/>
  <c r="O17" i="2"/>
  <c r="O12" i="2"/>
  <c r="L13" i="2"/>
  <c r="Q7" i="2"/>
  <c r="Q12" i="2" s="1"/>
  <c r="P7" i="2"/>
  <c r="L14" i="2" l="1"/>
  <c r="L15" i="2" s="1"/>
  <c r="P17" i="2"/>
  <c r="P12" i="2"/>
  <c r="Q17" i="2"/>
  <c r="M13" i="2"/>
  <c r="M14" i="2" l="1"/>
  <c r="M15" i="2" s="1"/>
  <c r="N13" i="2"/>
  <c r="N14" i="2" s="1"/>
  <c r="N15" i="2" l="1"/>
  <c r="O13" i="2"/>
  <c r="O14" i="2" l="1"/>
  <c r="O15" i="2" s="1"/>
  <c r="Q13" i="2"/>
  <c r="P13" i="2"/>
  <c r="Q14" i="2" l="1"/>
  <c r="Q15" i="2" s="1"/>
  <c r="R15" i="2" s="1"/>
  <c r="P14" i="2"/>
  <c r="P15" i="2" s="1"/>
  <c r="S15" i="2" l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T11" i="2" l="1"/>
</calcChain>
</file>

<file path=xl/sharedStrings.xml><?xml version="1.0" encoding="utf-8"?>
<sst xmlns="http://schemas.openxmlformats.org/spreadsheetml/2006/main" count="78" uniqueCount="65">
  <si>
    <t>BRKB</t>
  </si>
  <si>
    <t>Price</t>
  </si>
  <si>
    <t>Shares</t>
  </si>
  <si>
    <t>MC</t>
  </si>
  <si>
    <t>Cash</t>
  </si>
  <si>
    <t>Debt</t>
  </si>
  <si>
    <t>EV</t>
  </si>
  <si>
    <t>BRKA</t>
  </si>
  <si>
    <t>BRKB:BRKA</t>
  </si>
  <si>
    <t>1:1500 RATIO</t>
  </si>
  <si>
    <t>Main</t>
  </si>
  <si>
    <t>Q125</t>
  </si>
  <si>
    <t>T-Bills</t>
  </si>
  <si>
    <t>Securities</t>
  </si>
  <si>
    <t>Equity Method Investments</t>
  </si>
  <si>
    <t>Loans</t>
  </si>
  <si>
    <t>Other Receivables</t>
  </si>
  <si>
    <t>Inventories</t>
  </si>
  <si>
    <t>PP&amp;E</t>
  </si>
  <si>
    <t>Equipment held for lease</t>
  </si>
  <si>
    <t>GW</t>
  </si>
  <si>
    <t>Intangible Assets</t>
  </si>
  <si>
    <t>Deferred Charges - Retroactive Reinsurance</t>
  </si>
  <si>
    <t>Other</t>
  </si>
  <si>
    <t>Railroad, Utilities &amp; Energy</t>
  </si>
  <si>
    <t>AR</t>
  </si>
  <si>
    <t>Regulatory Assets</t>
  </si>
  <si>
    <t>Assets</t>
  </si>
  <si>
    <t>Insurance &amp; Other</t>
  </si>
  <si>
    <t>Loss Adjustment Expenses</t>
  </si>
  <si>
    <t>Unearned Premiums</t>
  </si>
  <si>
    <t>Life Insurance</t>
  </si>
  <si>
    <t>Policyholder Liabilities</t>
  </si>
  <si>
    <t>AP</t>
  </si>
  <si>
    <t>Payable Purchases of T-Bills</t>
  </si>
  <si>
    <t>Aircraft Repurchase Liabilities</t>
  </si>
  <si>
    <t>Notes Payable</t>
  </si>
  <si>
    <t>Regulatory Liabilities</t>
  </si>
  <si>
    <t>Liabilities</t>
  </si>
  <si>
    <t>BOOK VALUE</t>
  </si>
  <si>
    <t>TANGIBLE BOOK VALUE</t>
  </si>
  <si>
    <t>P/B</t>
  </si>
  <si>
    <t>P/TB</t>
  </si>
  <si>
    <t>Utility &amp; Energy COGS</t>
  </si>
  <si>
    <t>Railroad COGS</t>
  </si>
  <si>
    <t>Other Expenses</t>
  </si>
  <si>
    <t>Interest Expense</t>
  </si>
  <si>
    <t>Operating Income</t>
  </si>
  <si>
    <t>Operating Expenses</t>
  </si>
  <si>
    <t>Tax</t>
  </si>
  <si>
    <t>Net Income</t>
  </si>
  <si>
    <t>Railroad Revenue</t>
  </si>
  <si>
    <t>Utility &amp; Energy Operating Rev</t>
  </si>
  <si>
    <t>Service Revenues</t>
  </si>
  <si>
    <t>Revenue</t>
  </si>
  <si>
    <t>Revenue y/y</t>
  </si>
  <si>
    <t>Revenue q/q</t>
  </si>
  <si>
    <t>Maturity</t>
  </si>
  <si>
    <t>Discount</t>
  </si>
  <si>
    <t>NPV</t>
  </si>
  <si>
    <t>Operating Margin</t>
  </si>
  <si>
    <t>Q225</t>
  </si>
  <si>
    <t>Q325</t>
  </si>
  <si>
    <t>Q425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</si>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</sst>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3" fontId="5" fillId="0" borderId="0" xfId="1" applyNumberFormat="1" applyFont="1"/>
    <xf numFmtId="1" fontId="2" fillId="0" borderId="0" xfId="0" applyNumberFormat="1" applyFont="1"/>
    <xf numFmtId="3" fontId="6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9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91B4-465A-4E56-8979-BEAA8845F5E5}">
  <dimension ref="A1:P7"/>
  <sheetViews>
    <sheetView topLeftCell="F1" zoomScale="115" zoomScaleNormal="115" workbookViewId="0">
      <selection activeCell="M3" sqref="M3"/>
    </sheetView>
  </sheetViews>
  <sheetFormatPr defaultRowHeight="12.75" x14ac:dyDescent="0.2"/>
  <cols>
    <col min="1" max="4" width="9" style="2"/>
    <col min="5" max="5" width="10.25" style="2" bestFit="1" customWidth="1"/>
    <col min="6" max="16384" width="9" style="2"/>
  </cols>
  <sheetData>
    <row r="1" spans="1:16" x14ac:dyDescent="0.2">
      <c r="A1" s="1"/>
      <c r="M1" s="2" t="s">
        <v>0</v>
      </c>
      <c r="N1" s="2" t="s">
        <v>7</v>
      </c>
    </row>
    <row r="2" spans="1:16" x14ac:dyDescent="0.2">
      <c r="L2" s="2" t="s">
        <v>1</v>
      </c>
      <c r="M2" s="3">
        <v>477</v>
      </c>
      <c r="N2" s="3">
        <v>735920</v>
      </c>
      <c r="O2" s="3">
        <f>M2</f>
        <v>477</v>
      </c>
    </row>
    <row r="3" spans="1:16" x14ac:dyDescent="0.2">
      <c r="L3" s="2" t="s">
        <v>2</v>
      </c>
      <c r="M3" s="4">
        <f>1342.84</f>
        <v>1342.84</v>
      </c>
      <c r="N3" s="3">
        <v>0.54300000000000004</v>
      </c>
      <c r="O3" s="2">
        <f>M3+(N3*1500)</f>
        <v>2157.34</v>
      </c>
      <c r="P3" s="2" t="s">
        <v>11</v>
      </c>
    </row>
    <row r="4" spans="1:16" x14ac:dyDescent="0.2">
      <c r="A4" s="2" t="s">
        <v>8</v>
      </c>
      <c r="L4" s="2" t="s">
        <v>3</v>
      </c>
      <c r="M4" s="4">
        <f>M3*M2</f>
        <v>640534.67999999993</v>
      </c>
      <c r="N4" s="4">
        <f>N3*N2</f>
        <v>399604.56000000006</v>
      </c>
      <c r="O4" s="4">
        <f>O3*O2</f>
        <v>1029051.18</v>
      </c>
    </row>
    <row r="5" spans="1:16" x14ac:dyDescent="0.2">
      <c r="A5" s="1" t="s">
        <v>9</v>
      </c>
      <c r="L5" s="2" t="s">
        <v>4</v>
      </c>
      <c r="M5" s="4"/>
      <c r="N5" s="4"/>
      <c r="P5" s="2" t="s">
        <v>11</v>
      </c>
    </row>
    <row r="6" spans="1:16" x14ac:dyDescent="0.2">
      <c r="L6" s="2" t="s">
        <v>5</v>
      </c>
      <c r="M6" s="4"/>
      <c r="P6" s="2" t="s">
        <v>11</v>
      </c>
    </row>
    <row r="7" spans="1:16" x14ac:dyDescent="0.2">
      <c r="L7" s="2" t="s">
        <v>6</v>
      </c>
      <c r="M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1F0D-51FB-4516-80C8-99A1050AEC8B}">
  <dimension ref="A1:DL64"/>
  <sheetViews>
    <sheetView tabSelected="1" zoomScale="130" zoomScaleNormal="130" workbookViewId="0">
      <pane xSplit="2" ySplit="2" topLeftCell="N3" activePane="bottomRight" state="frozen"/>
      <selection pane="topRight" activeCell="C1" sqref="C1"/>
      <selection pane="bottomLeft" activeCell="A2" sqref="A2"/>
      <selection pane="bottomRight" activeCell="V7" sqref="V7"/>
    </sheetView>
  </sheetViews>
  <sheetFormatPr defaultRowHeight="12.75" x14ac:dyDescent="0.2"/>
  <cols>
    <col min="1" max="1" width="4.375" style="4" customWidth="1"/>
    <col min="2" max="2" width="25.125" style="4" customWidth="1"/>
    <col min="3" max="16384" width="9" style="4"/>
  </cols>
  <sheetData>
    <row r="1" spans="1:116" x14ac:dyDescent="0.2">
      <c r="A1" s="5" t="s">
        <v>10</v>
      </c>
    </row>
    <row r="2" spans="1:116" x14ac:dyDescent="0.2">
      <c r="C2" s="4" t="s">
        <v>11</v>
      </c>
      <c r="D2" s="4" t="s">
        <v>61</v>
      </c>
      <c r="E2" s="4" t="s">
        <v>62</v>
      </c>
      <c r="F2" s="4" t="s">
        <v>63</v>
      </c>
      <c r="H2" s="6">
        <v>2025</v>
      </c>
      <c r="I2" s="6">
        <f>H2+1</f>
        <v>2026</v>
      </c>
      <c r="J2" s="6">
        <f t="shared" ref="J2:Q2" si="0">I2+1</f>
        <v>2027</v>
      </c>
      <c r="K2" s="6">
        <f t="shared" si="0"/>
        <v>2028</v>
      </c>
      <c r="L2" s="6">
        <f t="shared" si="0"/>
        <v>2029</v>
      </c>
      <c r="M2" s="6">
        <f t="shared" si="0"/>
        <v>2030</v>
      </c>
      <c r="N2" s="6">
        <f t="shared" si="0"/>
        <v>2031</v>
      </c>
      <c r="O2" s="6">
        <f t="shared" si="0"/>
        <v>2032</v>
      </c>
      <c r="P2" s="6">
        <f t="shared" si="0"/>
        <v>2033</v>
      </c>
      <c r="Q2" s="6">
        <f t="shared" si="0"/>
        <v>2034</v>
      </c>
    </row>
    <row r="3" spans="1:116" x14ac:dyDescent="0.2">
      <c r="B3" s="7" t="s">
        <v>24</v>
      </c>
    </row>
    <row r="4" spans="1:116" x14ac:dyDescent="0.2">
      <c r="B4" s="4" t="s">
        <v>51</v>
      </c>
      <c r="C4" s="4">
        <v>5671</v>
      </c>
      <c r="D4" s="4">
        <f>C4*1.01</f>
        <v>5727.71</v>
      </c>
      <c r="E4" s="4">
        <f t="shared" ref="E4:F4" si="1">D4*1.01</f>
        <v>5784.9871000000003</v>
      </c>
      <c r="F4" s="4">
        <f t="shared" si="1"/>
        <v>5842.8369710000006</v>
      </c>
      <c r="H4" s="4">
        <f t="shared" ref="H4:H11" si="2">SUM(C4:F4)</f>
        <v>23026.534070999998</v>
      </c>
      <c r="I4" s="4">
        <f>H4*1.04</f>
        <v>23947.595433840001</v>
      </c>
      <c r="J4" s="4">
        <f t="shared" ref="J4:Q4" si="3">I4*1.04</f>
        <v>24905.4992511936</v>
      </c>
      <c r="K4" s="4">
        <f t="shared" si="3"/>
        <v>25901.719221241343</v>
      </c>
      <c r="L4" s="4">
        <f t="shared" si="3"/>
        <v>26937.787990090997</v>
      </c>
      <c r="M4" s="4">
        <f t="shared" si="3"/>
        <v>28015.29950969464</v>
      </c>
      <c r="N4" s="4">
        <f t="shared" si="3"/>
        <v>29135.911490082428</v>
      </c>
      <c r="O4" s="4">
        <f t="shared" si="3"/>
        <v>30301.347949685725</v>
      </c>
      <c r="P4" s="4">
        <f t="shared" si="3"/>
        <v>31513.401867673154</v>
      </c>
      <c r="Q4" s="4">
        <f t="shared" si="3"/>
        <v>32773.937942380078</v>
      </c>
    </row>
    <row r="5" spans="1:116" x14ac:dyDescent="0.2">
      <c r="B5" s="4" t="s">
        <v>52</v>
      </c>
      <c r="C5" s="4">
        <v>5494</v>
      </c>
      <c r="D5" s="4">
        <f>C5*1.01</f>
        <v>5548.94</v>
      </c>
      <c r="E5" s="4">
        <f t="shared" ref="E5:F5" si="4">D5*1.01</f>
        <v>5604.4294</v>
      </c>
      <c r="F5" s="4">
        <f t="shared" si="4"/>
        <v>5660.4736940000003</v>
      </c>
      <c r="H5" s="4">
        <f t="shared" si="2"/>
        <v>22307.843094</v>
      </c>
      <c r="I5" s="4">
        <f>H5*1.1</f>
        <v>24538.627403400002</v>
      </c>
      <c r="J5" s="4">
        <f t="shared" ref="J5:Q5" si="5">I5*1.1</f>
        <v>26992.490143740004</v>
      </c>
      <c r="K5" s="4">
        <f t="shared" si="5"/>
        <v>29691.739158114007</v>
      </c>
      <c r="L5" s="4">
        <f t="shared" si="5"/>
        <v>32660.913073925411</v>
      </c>
      <c r="M5" s="4">
        <f t="shared" si="5"/>
        <v>35927.004381317951</v>
      </c>
      <c r="N5" s="4">
        <f t="shared" si="5"/>
        <v>39519.704819449747</v>
      </c>
      <c r="O5" s="4">
        <f t="shared" si="5"/>
        <v>43471.675301394724</v>
      </c>
      <c r="P5" s="4">
        <f t="shared" si="5"/>
        <v>47818.842831534203</v>
      </c>
      <c r="Q5" s="4">
        <f t="shared" si="5"/>
        <v>52600.72711468763</v>
      </c>
    </row>
    <row r="6" spans="1:116" x14ac:dyDescent="0.2">
      <c r="B6" s="4" t="s">
        <v>53</v>
      </c>
      <c r="C6" s="4">
        <v>878</v>
      </c>
      <c r="D6" s="4">
        <f>C6*1.01</f>
        <v>886.78</v>
      </c>
      <c r="E6" s="4">
        <f t="shared" ref="E6:F6" si="6">D6*1.01</f>
        <v>895.64779999999996</v>
      </c>
      <c r="F6" s="4">
        <f t="shared" si="6"/>
        <v>904.60427800000002</v>
      </c>
      <c r="H6" s="4">
        <f t="shared" si="2"/>
        <v>3565.0320780000002</v>
      </c>
      <c r="I6" s="4">
        <f>H6*1.03</f>
        <v>3671.9830403400001</v>
      </c>
      <c r="J6" s="4">
        <f t="shared" ref="J6:Q6" si="7">I6*1.03</f>
        <v>3782.1425315502001</v>
      </c>
      <c r="K6" s="4">
        <f t="shared" si="7"/>
        <v>3895.6068074967061</v>
      </c>
      <c r="L6" s="4">
        <f t="shared" si="7"/>
        <v>4012.4750117216072</v>
      </c>
      <c r="M6" s="4">
        <f t="shared" si="7"/>
        <v>4132.8492620732559</v>
      </c>
      <c r="N6" s="4">
        <f t="shared" si="7"/>
        <v>4256.8347399354534</v>
      </c>
      <c r="O6" s="4">
        <f t="shared" si="7"/>
        <v>4384.5397821335173</v>
      </c>
      <c r="P6" s="4">
        <f t="shared" si="7"/>
        <v>4516.0759755975232</v>
      </c>
      <c r="Q6" s="4">
        <f t="shared" si="7"/>
        <v>4651.5582548654493</v>
      </c>
    </row>
    <row r="7" spans="1:116" s="8" customFormat="1" x14ac:dyDescent="0.2">
      <c r="A7" s="4"/>
      <c r="B7" s="8" t="s">
        <v>54</v>
      </c>
      <c r="C7" s="8">
        <f>SUM(C4:C6)</f>
        <v>12043</v>
      </c>
      <c r="D7" s="8">
        <f t="shared" ref="D7:F7" si="8">SUM(D4:D6)</f>
        <v>12163.43</v>
      </c>
      <c r="E7" s="8">
        <f t="shared" si="8"/>
        <v>12285.0643</v>
      </c>
      <c r="F7" s="8">
        <f t="shared" si="8"/>
        <v>12407.914943000002</v>
      </c>
      <c r="H7" s="8">
        <f t="shared" si="2"/>
        <v>48899.409243000002</v>
      </c>
      <c r="I7" s="8">
        <f>SUM(I4:I6)</f>
        <v>52158.205877579996</v>
      </c>
      <c r="J7" s="8">
        <f t="shared" ref="J7:Q7" si="9">SUM(J4:J6)</f>
        <v>55680.131926483802</v>
      </c>
      <c r="K7" s="8">
        <f t="shared" si="9"/>
        <v>59489.065186852051</v>
      </c>
      <c r="L7" s="8">
        <f t="shared" si="9"/>
        <v>63611.176075738018</v>
      </c>
      <c r="M7" s="8">
        <f t="shared" si="9"/>
        <v>68075.153153085848</v>
      </c>
      <c r="N7" s="8">
        <f t="shared" si="9"/>
        <v>72912.451049467621</v>
      </c>
      <c r="O7" s="8">
        <f t="shared" si="9"/>
        <v>78157.56303321397</v>
      </c>
      <c r="P7" s="8">
        <f t="shared" si="9"/>
        <v>83848.320674804883</v>
      </c>
      <c r="Q7" s="8">
        <f t="shared" si="9"/>
        <v>90026.22331193315</v>
      </c>
    </row>
    <row r="8" spans="1:116" x14ac:dyDescent="0.2">
      <c r="B8" s="4" t="s">
        <v>44</v>
      </c>
      <c r="C8" s="4">
        <v>3873</v>
      </c>
      <c r="D8" s="4">
        <f>C8*1.01</f>
        <v>3911.73</v>
      </c>
      <c r="E8" s="4">
        <f t="shared" ref="E8:F8" si="10">D8*1.01</f>
        <v>3950.8472999999999</v>
      </c>
      <c r="F8" s="4">
        <f t="shared" si="10"/>
        <v>3990.3557729999998</v>
      </c>
      <c r="H8" s="4">
        <f t="shared" si="2"/>
        <v>15725.933072999998</v>
      </c>
    </row>
    <row r="9" spans="1:116" x14ac:dyDescent="0.2">
      <c r="B9" s="4" t="s">
        <v>43</v>
      </c>
      <c r="C9" s="4">
        <v>4091</v>
      </c>
      <c r="D9" s="4">
        <f>C9*1.01</f>
        <v>4131.91</v>
      </c>
      <c r="E9" s="4">
        <f t="shared" ref="E9:F9" si="11">D9*1.01</f>
        <v>4173.2290999999996</v>
      </c>
      <c r="F9" s="4">
        <f t="shared" si="11"/>
        <v>4214.9613909999998</v>
      </c>
      <c r="H9" s="4">
        <f t="shared" si="2"/>
        <v>16611.100491000001</v>
      </c>
      <c r="S9" s="4" t="s">
        <v>57</v>
      </c>
      <c r="T9" s="10">
        <v>0.01</v>
      </c>
    </row>
    <row r="10" spans="1:116" x14ac:dyDescent="0.2">
      <c r="B10" s="4" t="s">
        <v>45</v>
      </c>
      <c r="C10" s="4">
        <v>846</v>
      </c>
      <c r="D10" s="4">
        <f>C10*1.01</f>
        <v>854.46</v>
      </c>
      <c r="E10" s="4">
        <f t="shared" ref="E10:F10" si="12">D10*1.01</f>
        <v>863.0046000000001</v>
      </c>
      <c r="F10" s="4">
        <f t="shared" si="12"/>
        <v>871.63464600000009</v>
      </c>
      <c r="H10" s="4">
        <f t="shared" si="2"/>
        <v>3435.0992460000002</v>
      </c>
      <c r="S10" s="4" t="s">
        <v>58</v>
      </c>
      <c r="T10" s="10">
        <v>7.0000000000000007E-2</v>
      </c>
    </row>
    <row r="11" spans="1:116" x14ac:dyDescent="0.2">
      <c r="B11" s="4" t="s">
        <v>46</v>
      </c>
      <c r="C11" s="4">
        <v>917</v>
      </c>
      <c r="D11" s="4">
        <f>C11*1.01</f>
        <v>926.17</v>
      </c>
      <c r="E11" s="4">
        <f t="shared" ref="E11:F11" si="13">D11*1.01</f>
        <v>935.43169999999998</v>
      </c>
      <c r="F11" s="4">
        <f t="shared" si="13"/>
        <v>944.78601700000002</v>
      </c>
      <c r="H11" s="4">
        <f t="shared" si="2"/>
        <v>3723.3877170000001</v>
      </c>
      <c r="S11" s="8" t="s">
        <v>59</v>
      </c>
      <c r="T11" s="8">
        <f>NPV(T10,I15:DL15)+C60</f>
        <v>946800.6440088253</v>
      </c>
    </row>
    <row r="12" spans="1:116" x14ac:dyDescent="0.2">
      <c r="B12" s="4" t="s">
        <v>48</v>
      </c>
      <c r="C12" s="4">
        <f>SUM(C8:C11)</f>
        <v>9727</v>
      </c>
      <c r="D12" s="4">
        <f t="shared" ref="D12:H12" si="14">SUM(D8:D11)</f>
        <v>9824.2699999999986</v>
      </c>
      <c r="E12" s="4">
        <f t="shared" si="14"/>
        <v>9922.5126999999993</v>
      </c>
      <c r="F12" s="4">
        <f t="shared" si="14"/>
        <v>10021.737827000001</v>
      </c>
      <c r="H12" s="4">
        <f t="shared" si="14"/>
        <v>39495.520526999993</v>
      </c>
      <c r="I12" s="4">
        <f>I7*(1-I20)</f>
        <v>41726.564702064003</v>
      </c>
      <c r="J12" s="4">
        <f>J7*(1-J20)</f>
        <v>44544.105541187047</v>
      </c>
      <c r="K12" s="4">
        <f>K7*(1-K20)</f>
        <v>47591.252149481646</v>
      </c>
      <c r="L12" s="4">
        <f>L7*(1-L20)</f>
        <v>50888.940860590417</v>
      </c>
      <c r="M12" s="4">
        <f>M7*(1-M20)</f>
        <v>54460.122522468679</v>
      </c>
      <c r="N12" s="4">
        <f>N7*(1-N20)</f>
        <v>58329.960839574102</v>
      </c>
      <c r="O12" s="4">
        <f>O7*(1-O20)</f>
        <v>62526.050426571179</v>
      </c>
      <c r="P12" s="4">
        <f>P7*(1-P20)</f>
        <v>67078.656539843912</v>
      </c>
      <c r="Q12" s="4">
        <f>Q7*(1-Q20)</f>
        <v>72020.978649546523</v>
      </c>
      <c r="S12" s="11" t="s">
        <v>64</v>
      </c>
      <c r="T12" s="3">
        <f>T11/Main!O3</f>
        <v>438.87409680848879</v>
      </c>
    </row>
    <row r="13" spans="1:116" x14ac:dyDescent="0.2">
      <c r="B13" s="4" t="s">
        <v>47</v>
      </c>
      <c r="C13" s="4">
        <f>C7-C12</f>
        <v>2316</v>
      </c>
      <c r="D13" s="4">
        <f t="shared" ref="D13:H13" si="15">D7-D12</f>
        <v>2339.1600000000017</v>
      </c>
      <c r="E13" s="4">
        <f t="shared" si="15"/>
        <v>2362.5516000000007</v>
      </c>
      <c r="F13" s="4">
        <f t="shared" si="15"/>
        <v>2386.1771160000008</v>
      </c>
      <c r="H13" s="4">
        <f t="shared" si="15"/>
        <v>9403.8887160000086</v>
      </c>
      <c r="I13" s="4">
        <f t="shared" ref="I13" si="16">I7-I12</f>
        <v>10431.641175515993</v>
      </c>
      <c r="J13" s="4">
        <f t="shared" ref="J13" si="17">J7-J12</f>
        <v>11136.026385296755</v>
      </c>
      <c r="K13" s="4">
        <f t="shared" ref="K13" si="18">K7-K12</f>
        <v>11897.813037370404</v>
      </c>
      <c r="L13" s="4">
        <f t="shared" ref="L13" si="19">L7-L12</f>
        <v>12722.235215147601</v>
      </c>
      <c r="M13" s="4">
        <f t="shared" ref="M13" si="20">M7-M12</f>
        <v>13615.03063061717</v>
      </c>
      <c r="N13" s="4">
        <f t="shared" ref="N13" si="21">N7-N12</f>
        <v>14582.49020989352</v>
      </c>
      <c r="O13" s="4">
        <f t="shared" ref="O13" si="22">O7-O12</f>
        <v>15631.512606642791</v>
      </c>
      <c r="P13" s="4">
        <f t="shared" ref="P13" si="23">P7-P12</f>
        <v>16769.664134960971</v>
      </c>
      <c r="Q13" s="4">
        <f t="shared" ref="Q13" si="24">Q7-Q12</f>
        <v>18005.244662386627</v>
      </c>
    </row>
    <row r="14" spans="1:116" x14ac:dyDescent="0.2">
      <c r="B14" s="4" t="s">
        <v>49</v>
      </c>
      <c r="C14" s="4">
        <v>476</v>
      </c>
      <c r="D14" s="4" t="e">
        <f>D13*#REF!</f>
        <v>#REF!</v>
      </c>
      <c r="E14" s="4" t="e">
        <f>E13*#REF!</f>
        <v>#REF!</v>
      </c>
      <c r="F14" s="4" t="e">
        <f>F13*#REF!</f>
        <v>#REF!</v>
      </c>
      <c r="H14" s="4" t="e">
        <f>SUM(C14:F14)</f>
        <v>#REF!</v>
      </c>
      <c r="I14" s="4">
        <f>I13*0.19</f>
        <v>1982.0118233480387</v>
      </c>
      <c r="J14" s="4">
        <f t="shared" ref="J14:Q14" si="25">J13*0.19</f>
        <v>2115.8450132063836</v>
      </c>
      <c r="K14" s="4">
        <f t="shared" si="25"/>
        <v>2260.5844771003767</v>
      </c>
      <c r="L14" s="4">
        <f t="shared" si="25"/>
        <v>2417.2246908780444</v>
      </c>
      <c r="M14" s="4">
        <f t="shared" si="25"/>
        <v>2586.8558198172623</v>
      </c>
      <c r="N14" s="4">
        <f t="shared" si="25"/>
        <v>2770.6731398797688</v>
      </c>
      <c r="O14" s="4">
        <f t="shared" si="25"/>
        <v>2969.9873952621301</v>
      </c>
      <c r="P14" s="4">
        <f t="shared" si="25"/>
        <v>3186.2361856425846</v>
      </c>
      <c r="Q14" s="4">
        <f t="shared" si="25"/>
        <v>3420.996485853459</v>
      </c>
    </row>
    <row r="15" spans="1:116" s="8" customFormat="1" x14ac:dyDescent="0.2">
      <c r="A15" s="4"/>
      <c r="B15" s="8" t="s">
        <v>50</v>
      </c>
      <c r="C15" s="8">
        <f>C13-C14</f>
        <v>1840</v>
      </c>
      <c r="D15" s="8" t="e">
        <f t="shared" ref="D15:H15" si="26">D13-D14</f>
        <v>#REF!</v>
      </c>
      <c r="E15" s="8" t="e">
        <f t="shared" si="26"/>
        <v>#REF!</v>
      </c>
      <c r="F15" s="8" t="e">
        <f t="shared" si="26"/>
        <v>#REF!</v>
      </c>
      <c r="H15" s="8" t="e">
        <f t="shared" si="26"/>
        <v>#REF!</v>
      </c>
      <c r="I15" s="8">
        <f t="shared" ref="I15" si="27">I13-I14</f>
        <v>8449.6293521679545</v>
      </c>
      <c r="J15" s="8">
        <f t="shared" ref="J15" si="28">J13-J14</f>
        <v>9020.1813720903701</v>
      </c>
      <c r="K15" s="8">
        <f t="shared" ref="K15" si="29">K13-K14</f>
        <v>9637.2285602700285</v>
      </c>
      <c r="L15" s="8">
        <f t="shared" ref="L15" si="30">L13-L14</f>
        <v>10305.010524269557</v>
      </c>
      <c r="M15" s="8">
        <f t="shared" ref="M15" si="31">M13-M14</f>
        <v>11028.174810799908</v>
      </c>
      <c r="N15" s="8">
        <f t="shared" ref="N15" si="32">N13-N14</f>
        <v>11811.817070013751</v>
      </c>
      <c r="O15" s="8">
        <f t="shared" ref="O15" si="33">O13-O14</f>
        <v>12661.52521138066</v>
      </c>
      <c r="P15" s="8">
        <f t="shared" ref="P15" si="34">P13-P14</f>
        <v>13583.427949318386</v>
      </c>
      <c r="Q15" s="8">
        <f t="shared" ref="Q15" si="35">Q13-Q14</f>
        <v>14584.248176533169</v>
      </c>
      <c r="R15" s="8">
        <f>Q15*(1+$T$9)</f>
        <v>14730.090658298501</v>
      </c>
      <c r="S15" s="8">
        <f>R15*(1+$T$9)</f>
        <v>14877.391564881485</v>
      </c>
      <c r="T15" s="8">
        <f>S15*(1+$T$9)</f>
        <v>15026.165480530301</v>
      </c>
      <c r="U15" s="8">
        <f>T15*(1+$T$9)</f>
        <v>15176.427135335603</v>
      </c>
      <c r="V15" s="8">
        <f>U15*(1+$T$9)</f>
        <v>15328.19140668896</v>
      </c>
      <c r="W15" s="8">
        <f>V15*(1+$T$9)</f>
        <v>15481.473320755849</v>
      </c>
      <c r="X15" s="8">
        <f>W15*(1+$T$9)</f>
        <v>15636.288053963408</v>
      </c>
      <c r="Y15" s="8">
        <f>X15*(1+$T$9)</f>
        <v>15792.650934503043</v>
      </c>
      <c r="Z15" s="8">
        <f>Y15*(1+$T$9)</f>
        <v>15950.577443848073</v>
      </c>
      <c r="AA15" s="8">
        <f>Z15*(1+$T$9)</f>
        <v>16110.083218286554</v>
      </c>
      <c r="AB15" s="8">
        <f>AA15*(1+$T$9)</f>
        <v>16271.184050469419</v>
      </c>
      <c r="AC15" s="8">
        <f>AB15*(1+$T$9)</f>
        <v>16433.895890974112</v>
      </c>
      <c r="AD15" s="8">
        <f>AC15*(1+$T$9)</f>
        <v>16598.234849883855</v>
      </c>
      <c r="AE15" s="8">
        <f>AD15*(1+$T$9)</f>
        <v>16764.217198382692</v>
      </c>
      <c r="AF15" s="8">
        <f>AE15*(1+$T$9)</f>
        <v>16931.859370366517</v>
      </c>
      <c r="AG15" s="8">
        <f>AF15*(1+$T$9)</f>
        <v>17101.177964070182</v>
      </c>
      <c r="AH15" s="8">
        <f>AG15*(1+$T$9)</f>
        <v>17272.189743710886</v>
      </c>
      <c r="AI15" s="8">
        <f>AH15*(1+$T$9)</f>
        <v>17444.911641147995</v>
      </c>
      <c r="AJ15" s="8">
        <f>AI15*(1+$T$9)</f>
        <v>17619.360757559476</v>
      </c>
      <c r="AK15" s="8">
        <f>AJ15*(1+$T$9)</f>
        <v>17795.554365135071</v>
      </c>
      <c r="AL15" s="8">
        <f>AK15*(1+$T$9)</f>
        <v>17973.509908786422</v>
      </c>
      <c r="AM15" s="8">
        <f>AL15*(1+$T$9)</f>
        <v>18153.245007874288</v>
      </c>
      <c r="AN15" s="8">
        <f>AM15*(1+$T$9)</f>
        <v>18334.777457953031</v>
      </c>
      <c r="AO15" s="8">
        <f>AN15*(1+$T$9)</f>
        <v>18518.125232532562</v>
      </c>
      <c r="AP15" s="8">
        <f>AO15*(1+$T$9)</f>
        <v>18703.306484857887</v>
      </c>
      <c r="AQ15" s="8">
        <f>AP15*(1+$T$9)</f>
        <v>18890.339549706467</v>
      </c>
      <c r="AR15" s="8">
        <f>AQ15*(1+$T$9)</f>
        <v>19079.242945203532</v>
      </c>
      <c r="AS15" s="8">
        <f>AR15*(1+$T$9)</f>
        <v>19270.035374655567</v>
      </c>
      <c r="AT15" s="8">
        <f>AS15*(1+$T$9)</f>
        <v>19462.735728402124</v>
      </c>
      <c r="AU15" s="8">
        <f>AT15*(1+$T$9)</f>
        <v>19657.363085686145</v>
      </c>
      <c r="AV15" s="8">
        <f>AU15*(1+$T$9)</f>
        <v>19853.936716543009</v>
      </c>
      <c r="AW15" s="8">
        <f>AV15*(1+$T$9)</f>
        <v>20052.47608370844</v>
      </c>
      <c r="AX15" s="8">
        <f>AW15*(1+$T$9)</f>
        <v>20253.000844545524</v>
      </c>
      <c r="AY15" s="8">
        <f>AX15*(1+$T$9)</f>
        <v>20455.530852990978</v>
      </c>
      <c r="AZ15" s="8">
        <f>AY15*(1+$T$9)</f>
        <v>20660.086161520889</v>
      </c>
      <c r="BA15" s="8">
        <f>AZ15*(1+$T$9)</f>
        <v>20866.687023136099</v>
      </c>
      <c r="BB15" s="8">
        <f>BA15*(1+$T$9)</f>
        <v>21075.353893367461</v>
      </c>
      <c r="BC15" s="8">
        <f>BB15*(1+$T$9)</f>
        <v>21286.107432301134</v>
      </c>
      <c r="BD15" s="8">
        <f>BC15*(1+$T$9)</f>
        <v>21498.968506624147</v>
      </c>
      <c r="BE15" s="8">
        <f>BD15*(1+$T$9)</f>
        <v>21713.958191690388</v>
      </c>
      <c r="BF15" s="8">
        <f>BE15*(1+$T$9)</f>
        <v>21931.097773607293</v>
      </c>
      <c r="BG15" s="8">
        <f>BF15*(1+$T$9)</f>
        <v>22150.408751343366</v>
      </c>
      <c r="BH15" s="8">
        <f>BG15*(1+$T$9)</f>
        <v>22371.912838856799</v>
      </c>
      <c r="BI15" s="8">
        <f>BH15*(1+$T$9)</f>
        <v>22595.631967245368</v>
      </c>
      <c r="BJ15" s="8">
        <f>BI15*(1+$T$9)</f>
        <v>22821.58828691782</v>
      </c>
      <c r="BK15" s="8">
        <f>BJ15*(1+$T$9)</f>
        <v>23049.804169786999</v>
      </c>
      <c r="BL15" s="8">
        <f>BK15*(1+$T$9)</f>
        <v>23280.302211484868</v>
      </c>
      <c r="BM15" s="8">
        <f>BL15*(1+$T$9)</f>
        <v>23513.105233599716</v>
      </c>
      <c r="BN15" s="8">
        <f>BM15*(1+$T$9)</f>
        <v>23748.236285935713</v>
      </c>
      <c r="BO15" s="8">
        <f>BN15*(1+$T$9)</f>
        <v>23985.718648795071</v>
      </c>
      <c r="BP15" s="8">
        <f>BO15*(1+$T$9)</f>
        <v>24225.575835283023</v>
      </c>
      <c r="BQ15" s="8">
        <f>BP15*(1+$T$9)</f>
        <v>24467.831593635852</v>
      </c>
      <c r="BR15" s="8">
        <f>BQ15*(1+$T$9)</f>
        <v>24712.509909572211</v>
      </c>
      <c r="BS15" s="8">
        <f>BR15*(1+$T$9)</f>
        <v>24959.635008667934</v>
      </c>
      <c r="BT15" s="8">
        <f>BS15*(1+$T$9)</f>
        <v>25209.231358754612</v>
      </c>
      <c r="BU15" s="8">
        <f>BT15*(1+$T$9)</f>
        <v>25461.323672342158</v>
      </c>
      <c r="BV15" s="8">
        <f>BU15*(1+$T$9)</f>
        <v>25715.936909065578</v>
      </c>
      <c r="BW15" s="8">
        <f>BV15*(1+$T$9)</f>
        <v>25973.096278156234</v>
      </c>
      <c r="BX15" s="8">
        <f>BW15*(1+$T$9)</f>
        <v>26232.827240937797</v>
      </c>
      <c r="BY15" s="8">
        <f>BX15*(1+$T$9)</f>
        <v>26495.155513347174</v>
      </c>
      <c r="BZ15" s="8">
        <f>BY15*(1+$T$9)</f>
        <v>26760.107068480647</v>
      </c>
      <c r="CA15" s="8">
        <f>BZ15*(1+$T$9)</f>
        <v>27027.708139165454</v>
      </c>
      <c r="CB15" s="8">
        <f>CA15*(1+$T$9)</f>
        <v>27297.985220557108</v>
      </c>
      <c r="CC15" s="8">
        <f>CB15*(1+$T$9)</f>
        <v>27570.965072762679</v>
      </c>
      <c r="CD15" s="8">
        <f>CC15*(1+$T$9)</f>
        <v>27846.674723490305</v>
      </c>
      <c r="CE15" s="8">
        <f>CD15*(1+$T$9)</f>
        <v>28125.141470725208</v>
      </c>
      <c r="CF15" s="8">
        <f>CE15*(1+$T$9)</f>
        <v>28406.392885432459</v>
      </c>
      <c r="CG15" s="8">
        <f>CF15*(1+$T$9)</f>
        <v>28690.456814286783</v>
      </c>
      <c r="CH15" s="8">
        <f>CG15*(1+$T$9)</f>
        <v>28977.361382429652</v>
      </c>
      <c r="CI15" s="8">
        <f>CH15*(1+$T$9)</f>
        <v>29267.13499625395</v>
      </c>
      <c r="CJ15" s="8">
        <f>CI15*(1+$T$9)</f>
        <v>29559.80634621649</v>
      </c>
      <c r="CK15" s="8">
        <f>CJ15*(1+$T$9)</f>
        <v>29855.404409678657</v>
      </c>
      <c r="CL15" s="8">
        <f>CK15*(1+$T$9)</f>
        <v>30153.958453775442</v>
      </c>
      <c r="CM15" s="8">
        <f>CL15*(1+$T$9)</f>
        <v>30455.498038313195</v>
      </c>
      <c r="CN15" s="8">
        <f>CM15*(1+$T$9)</f>
        <v>30760.053018696326</v>
      </c>
      <c r="CO15" s="8">
        <f>CN15*(1+$T$9)</f>
        <v>31067.653548883289</v>
      </c>
      <c r="CP15" s="8">
        <f>CO15*(1+$T$9)</f>
        <v>31378.330084372123</v>
      </c>
      <c r="CQ15" s="8">
        <f>CP15*(1+$T$9)</f>
        <v>31692.113385215845</v>
      </c>
      <c r="CR15" s="8">
        <f>CQ15*(1+$T$9)</f>
        <v>32009.034519068005</v>
      </c>
      <c r="CS15" s="8">
        <f>CR15*(1+$T$9)</f>
        <v>32329.124864258687</v>
      </c>
      <c r="CT15" s="8">
        <f>CS15*(1+$T$9)</f>
        <v>32652.416112901275</v>
      </c>
      <c r="CU15" s="8">
        <f>CT15*(1+$T$9)</f>
        <v>32978.94027403029</v>
      </c>
      <c r="CV15" s="8">
        <f>CU15*(1+$T$9)</f>
        <v>33308.729676770592</v>
      </c>
      <c r="CW15" s="8">
        <f>CV15*(1+$T$9)</f>
        <v>33641.816973538298</v>
      </c>
      <c r="CX15" s="8">
        <f>CW15*(1+$T$9)</f>
        <v>33978.235143273683</v>
      </c>
      <c r="CY15" s="8">
        <f>CX15*(1+$T$9)</f>
        <v>34318.017494706422</v>
      </c>
      <c r="CZ15" s="8">
        <f>CY15*(1+$T$9)</f>
        <v>34661.197669653484</v>
      </c>
      <c r="DA15" s="8">
        <f>CZ15*(1+$T$9)</f>
        <v>35007.809646350019</v>
      </c>
      <c r="DB15" s="8">
        <f>DA15*(1+$T$9)</f>
        <v>35357.887742813517</v>
      </c>
      <c r="DC15" s="8">
        <f>DB15*(1+$T$9)</f>
        <v>35711.466620241656</v>
      </c>
      <c r="DD15" s="8">
        <f>DC15*(1+$T$9)</f>
        <v>36068.581286444074</v>
      </c>
      <c r="DE15" s="8">
        <f>DD15*(1+$T$9)</f>
        <v>36429.267099308512</v>
      </c>
      <c r="DF15" s="8">
        <f>DE15*(1+$T$9)</f>
        <v>36793.559770301596</v>
      </c>
      <c r="DG15" s="8">
        <f>DF15*(1+$T$9)</f>
        <v>37161.495368004609</v>
      </c>
      <c r="DH15" s="8">
        <f>DG15*(1+$T$9)</f>
        <v>37533.110321684653</v>
      </c>
      <c r="DI15" s="8">
        <f>DH15*(1+$T$9)</f>
        <v>37908.441424901503</v>
      </c>
      <c r="DJ15" s="8">
        <f>DI15*(1+$T$9)</f>
        <v>38287.525839150519</v>
      </c>
      <c r="DK15" s="8">
        <f>DJ15*(1+$T$9)</f>
        <v>38670.401097542024</v>
      </c>
      <c r="DL15" s="8">
        <f>DK15*(1+$T$9)</f>
        <v>39057.105108517448</v>
      </c>
    </row>
    <row r="16" spans="1:116" s="8" customFormat="1" x14ac:dyDescent="0.2">
      <c r="A16" s="4"/>
    </row>
    <row r="17" spans="1:20" s="8" customFormat="1" x14ac:dyDescent="0.2">
      <c r="A17" s="4"/>
      <c r="B17" s="8" t="s">
        <v>55</v>
      </c>
      <c r="I17" s="9">
        <f>I7/H7-1</f>
        <v>6.6642863073984815E-2</v>
      </c>
      <c r="J17" s="9">
        <f t="shared" ref="J17:Q17" si="36">J7/I7-1</f>
        <v>6.7523910948357413E-2</v>
      </c>
      <c r="K17" s="9">
        <f t="shared" si="36"/>
        <v>6.8407403656968624E-2</v>
      </c>
      <c r="L17" s="9">
        <f t="shared" si="36"/>
        <v>6.9291908957362702E-2</v>
      </c>
      <c r="M17" s="9">
        <f t="shared" si="36"/>
        <v>7.0175987188679567E-2</v>
      </c>
      <c r="N17" s="9">
        <f t="shared" si="36"/>
        <v>7.1058200713904673E-2</v>
      </c>
      <c r="O17" s="9">
        <f t="shared" si="36"/>
        <v>7.1937123334227193E-2</v>
      </c>
      <c r="P17" s="9">
        <f t="shared" si="36"/>
        <v>7.2811349544925852E-2</v>
      </c>
      <c r="Q17" s="9">
        <f t="shared" si="36"/>
        <v>7.3679503505961419E-2</v>
      </c>
    </row>
    <row r="18" spans="1:20" s="8" customFormat="1" x14ac:dyDescent="0.2">
      <c r="A18" s="4"/>
      <c r="B18" s="4" t="s">
        <v>56</v>
      </c>
      <c r="D18" s="9">
        <f>D7/C7-1</f>
        <v>1.0000000000000009E-2</v>
      </c>
      <c r="E18" s="9">
        <f t="shared" ref="E18:F18" si="37">E7/D7-1</f>
        <v>1.0000000000000009E-2</v>
      </c>
      <c r="F18" s="9">
        <f t="shared" si="37"/>
        <v>1.0000000000000231E-2</v>
      </c>
    </row>
    <row r="19" spans="1:20" s="8" customFormat="1" x14ac:dyDescent="0.2">
      <c r="A19" s="4"/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20" s="8" customFormat="1" x14ac:dyDescent="0.2">
      <c r="A20" s="4"/>
      <c r="B20" s="4" t="s">
        <v>60</v>
      </c>
      <c r="C20" s="10">
        <f>C13/C7</f>
        <v>0.1923108859918625</v>
      </c>
      <c r="D20" s="10">
        <f t="shared" ref="D20:H20" si="38">D13/D7</f>
        <v>0.19231088599186263</v>
      </c>
      <c r="E20" s="10">
        <f t="shared" si="38"/>
        <v>0.19231088599186255</v>
      </c>
      <c r="F20" s="10">
        <f t="shared" si="38"/>
        <v>0.19231088599186252</v>
      </c>
      <c r="G20" s="10"/>
      <c r="H20" s="10">
        <f t="shared" si="38"/>
        <v>0.19231088599186266</v>
      </c>
      <c r="I20" s="10">
        <v>0.2</v>
      </c>
      <c r="J20" s="10">
        <v>0.2</v>
      </c>
      <c r="K20" s="10">
        <v>0.2</v>
      </c>
      <c r="L20" s="10">
        <v>0.2</v>
      </c>
      <c r="M20" s="10">
        <v>0.2</v>
      </c>
      <c r="N20" s="10">
        <v>0.2</v>
      </c>
      <c r="O20" s="10">
        <v>0.2</v>
      </c>
      <c r="P20" s="10">
        <v>0.2</v>
      </c>
      <c r="Q20" s="10">
        <v>0.2</v>
      </c>
    </row>
    <row r="22" spans="1:20" x14ac:dyDescent="0.2">
      <c r="B22" s="7" t="s">
        <v>28</v>
      </c>
      <c r="T22" s="3"/>
    </row>
    <row r="23" spans="1:20" x14ac:dyDescent="0.2">
      <c r="B23" s="4" t="s">
        <v>4</v>
      </c>
      <c r="C23" s="4">
        <v>36892</v>
      </c>
    </row>
    <row r="24" spans="1:20" x14ac:dyDescent="0.2">
      <c r="B24" s="4" t="s">
        <v>12</v>
      </c>
      <c r="C24" s="4">
        <v>305501</v>
      </c>
    </row>
    <row r="25" spans="1:20" x14ac:dyDescent="0.2">
      <c r="B25" s="4" t="s">
        <v>13</v>
      </c>
      <c r="C25" s="4">
        <f>15035+263735</f>
        <v>278770</v>
      </c>
    </row>
    <row r="26" spans="1:20" x14ac:dyDescent="0.2">
      <c r="B26" s="4" t="s">
        <v>14</v>
      </c>
      <c r="C26" s="4">
        <v>31144</v>
      </c>
    </row>
    <row r="27" spans="1:20" x14ac:dyDescent="0.2">
      <c r="B27" s="4" t="s">
        <v>15</v>
      </c>
      <c r="C27" s="4">
        <v>28131</v>
      </c>
    </row>
    <row r="28" spans="1:20" x14ac:dyDescent="0.2">
      <c r="B28" s="4" t="s">
        <v>16</v>
      </c>
      <c r="C28" s="4">
        <v>47401</v>
      </c>
    </row>
    <row r="29" spans="1:20" x14ac:dyDescent="0.2">
      <c r="B29" s="4" t="s">
        <v>17</v>
      </c>
      <c r="C29" s="4">
        <v>24034</v>
      </c>
    </row>
    <row r="30" spans="1:20" x14ac:dyDescent="0.2">
      <c r="B30" s="4" t="s">
        <v>18</v>
      </c>
      <c r="C30" s="4">
        <v>30215</v>
      </c>
    </row>
    <row r="31" spans="1:20" x14ac:dyDescent="0.2">
      <c r="B31" s="4" t="s">
        <v>19</v>
      </c>
      <c r="C31" s="4">
        <v>17984</v>
      </c>
    </row>
    <row r="32" spans="1:20" x14ac:dyDescent="0.2">
      <c r="B32" s="4" t="s">
        <v>20</v>
      </c>
      <c r="C32" s="4">
        <v>56974</v>
      </c>
    </row>
    <row r="33" spans="1:3" x14ac:dyDescent="0.2">
      <c r="B33" s="4" t="s">
        <v>21</v>
      </c>
      <c r="C33" s="4">
        <v>34331</v>
      </c>
    </row>
    <row r="34" spans="1:3" x14ac:dyDescent="0.2">
      <c r="B34" s="4" t="s">
        <v>22</v>
      </c>
      <c r="C34" s="4">
        <v>8628</v>
      </c>
    </row>
    <row r="35" spans="1:3" x14ac:dyDescent="0.2">
      <c r="B35" s="4" t="s">
        <v>23</v>
      </c>
      <c r="C35" s="4">
        <v>25291</v>
      </c>
    </row>
    <row r="36" spans="1:3" x14ac:dyDescent="0.2">
      <c r="B36" s="7" t="s">
        <v>24</v>
      </c>
    </row>
    <row r="37" spans="1:3" x14ac:dyDescent="0.2">
      <c r="B37" s="4" t="s">
        <v>4</v>
      </c>
      <c r="C37" s="4">
        <v>5288</v>
      </c>
    </row>
    <row r="38" spans="1:3" x14ac:dyDescent="0.2">
      <c r="B38" s="4" t="s">
        <v>25</v>
      </c>
      <c r="C38" s="4">
        <v>4291</v>
      </c>
    </row>
    <row r="39" spans="1:3" x14ac:dyDescent="0.2">
      <c r="B39" s="4" t="s">
        <v>18</v>
      </c>
      <c r="C39" s="4">
        <v>176559</v>
      </c>
    </row>
    <row r="40" spans="1:3" x14ac:dyDescent="0.2">
      <c r="B40" s="4" t="s">
        <v>20</v>
      </c>
      <c r="C40" s="4">
        <v>27033</v>
      </c>
    </row>
    <row r="41" spans="1:3" x14ac:dyDescent="0.2">
      <c r="B41" s="4" t="s">
        <v>26</v>
      </c>
      <c r="C41" s="4">
        <v>5299</v>
      </c>
    </row>
    <row r="42" spans="1:3" x14ac:dyDescent="0.2">
      <c r="B42" s="4" t="s">
        <v>23</v>
      </c>
      <c r="C42" s="4">
        <v>20766</v>
      </c>
    </row>
    <row r="43" spans="1:3" s="8" customFormat="1" x14ac:dyDescent="0.2">
      <c r="A43" s="4"/>
      <c r="B43" s="8" t="s">
        <v>27</v>
      </c>
      <c r="C43" s="8">
        <f>SUM(C22:C42)</f>
        <v>1164532</v>
      </c>
    </row>
    <row r="45" spans="1:3" x14ac:dyDescent="0.2">
      <c r="B45" s="7" t="s">
        <v>28</v>
      </c>
    </row>
    <row r="46" spans="1:3" x14ac:dyDescent="0.2">
      <c r="B46" s="4" t="s">
        <v>29</v>
      </c>
      <c r="C46" s="4">
        <f>117123+31974</f>
        <v>149097</v>
      </c>
    </row>
    <row r="47" spans="1:3" x14ac:dyDescent="0.2">
      <c r="B47" s="4" t="s">
        <v>30</v>
      </c>
      <c r="C47" s="4">
        <v>32306</v>
      </c>
    </row>
    <row r="48" spans="1:3" x14ac:dyDescent="0.2">
      <c r="B48" s="4" t="s">
        <v>31</v>
      </c>
      <c r="C48" s="4">
        <v>17734</v>
      </c>
    </row>
    <row r="49" spans="1:3" x14ac:dyDescent="0.2">
      <c r="B49" s="4" t="s">
        <v>32</v>
      </c>
      <c r="C49" s="4">
        <v>10782</v>
      </c>
    </row>
    <row r="50" spans="1:3" x14ac:dyDescent="0.2">
      <c r="B50" s="4" t="s">
        <v>33</v>
      </c>
      <c r="C50" s="4">
        <v>37090</v>
      </c>
    </row>
    <row r="51" spans="1:3" x14ac:dyDescent="0.2">
      <c r="B51" s="4" t="s">
        <v>34</v>
      </c>
      <c r="C51" s="4">
        <v>14380</v>
      </c>
    </row>
    <row r="52" spans="1:3" x14ac:dyDescent="0.2">
      <c r="B52" s="4" t="s">
        <v>35</v>
      </c>
      <c r="C52" s="4">
        <v>9509</v>
      </c>
    </row>
    <row r="53" spans="1:3" x14ac:dyDescent="0.2">
      <c r="B53" s="4" t="s">
        <v>36</v>
      </c>
      <c r="C53" s="4">
        <v>44461</v>
      </c>
    </row>
    <row r="54" spans="1:3" x14ac:dyDescent="0.2">
      <c r="B54" s="7" t="s">
        <v>24</v>
      </c>
    </row>
    <row r="55" spans="1:3" x14ac:dyDescent="0.2">
      <c r="B55" s="4" t="s">
        <v>33</v>
      </c>
      <c r="C55" s="4">
        <v>17916</v>
      </c>
    </row>
    <row r="56" spans="1:3" x14ac:dyDescent="0.2">
      <c r="B56" s="4" t="s">
        <v>37</v>
      </c>
      <c r="C56" s="4">
        <v>7047</v>
      </c>
    </row>
    <row r="57" spans="1:3" x14ac:dyDescent="0.2">
      <c r="B57" s="4" t="s">
        <v>36</v>
      </c>
      <c r="C57" s="4">
        <v>81466</v>
      </c>
    </row>
    <row r="58" spans="1:3" s="8" customFormat="1" x14ac:dyDescent="0.2">
      <c r="A58" s="4"/>
      <c r="B58" s="8" t="s">
        <v>38</v>
      </c>
      <c r="C58" s="8">
        <f>SUM(C46:C57)</f>
        <v>421788</v>
      </c>
    </row>
    <row r="60" spans="1:3" x14ac:dyDescent="0.2">
      <c r="B60" s="4" t="s">
        <v>39</v>
      </c>
      <c r="C60" s="4">
        <f>C43-C58</f>
        <v>742744</v>
      </c>
    </row>
    <row r="61" spans="1:3" x14ac:dyDescent="0.2">
      <c r="B61" s="4" t="s">
        <v>40</v>
      </c>
      <c r="C61" s="4">
        <f>C60-C40-SUM(C32:C34)</f>
        <v>615778</v>
      </c>
    </row>
    <row r="63" spans="1:3" x14ac:dyDescent="0.2">
      <c r="B63" s="4" t="s">
        <v>41</v>
      </c>
      <c r="C63" s="3">
        <f>Main!$O$4/Model!C60</f>
        <v>1.3854722219230313</v>
      </c>
    </row>
    <row r="64" spans="1:3" x14ac:dyDescent="0.2">
      <c r="B64" s="4" t="s">
        <v>42</v>
      </c>
      <c r="C64" s="3">
        <f>Main!$O$4/Model!C61</f>
        <v>1.6711398913244708</v>
      </c>
    </row>
  </sheetData>
  <hyperlinks>
    <hyperlink ref="A1" location="Main!A1" display="Main" xr:uid="{4D0467D7-1FC5-477E-AE6E-D78928C446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2025-06-01T05:00:38Z</dcterms:created>
  <dcterms:modified xsi:type="dcterms:W3CDTF">2025-08-18T07:02:30Z</dcterms:modified>
</cp:coreProperties>
</file>