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33C05FB-FEE1-4E68-BDF8-DCD5A95F1F1E}" xr6:coauthVersionLast="47" xr6:coauthVersionMax="47" xr10:uidLastSave="{00000000-0000-0000-0000-000000000000}"/>
  <bookViews>
    <workbookView xWindow="-105" yWindow="0" windowWidth="14610" windowHeight="15585" activeTab="1" xr2:uid="{27F3582B-0D61-4416-BCF9-804F6891F1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2" l="1"/>
  <c r="R28" i="2"/>
  <c r="S28" i="2" s="1"/>
  <c r="T28" i="2" s="1"/>
  <c r="U28" i="2" s="1"/>
  <c r="V28" i="2" s="1"/>
  <c r="O29" i="2" l="1"/>
  <c r="P29" i="2"/>
  <c r="N29" i="2"/>
  <c r="P35" i="2"/>
  <c r="P33" i="2"/>
  <c r="P31" i="2" s="1"/>
  <c r="Q14" i="2" s="1"/>
  <c r="O12" i="2"/>
  <c r="P12" i="2"/>
  <c r="N12" i="2"/>
  <c r="O6" i="2"/>
  <c r="P6" i="2"/>
  <c r="N6" i="2"/>
  <c r="N8" i="2" s="1"/>
  <c r="N23" i="2" s="1"/>
  <c r="M2" i="2"/>
  <c r="N2" i="2" s="1"/>
  <c r="O2" i="2" s="1"/>
  <c r="P2" i="2" s="1"/>
  <c r="Q2" i="2" s="1"/>
  <c r="R2" i="2" s="1"/>
  <c r="S2" i="2" s="1"/>
  <c r="T2" i="2" s="1"/>
  <c r="U2" i="2" s="1"/>
  <c r="V2" i="2" s="1"/>
  <c r="H6" i="1"/>
  <c r="H5" i="1"/>
  <c r="H3" i="1"/>
  <c r="H4" i="1"/>
  <c r="H7" i="1" s="1"/>
  <c r="P8" i="2" l="1"/>
  <c r="P23" i="2" s="1"/>
  <c r="Q6" i="2"/>
  <c r="R6" i="2" s="1"/>
  <c r="S6" i="2" s="1"/>
  <c r="T6" i="2" s="1"/>
  <c r="U6" i="2" s="1"/>
  <c r="V6" i="2" s="1"/>
  <c r="O25" i="2"/>
  <c r="N25" i="2"/>
  <c r="P25" i="2"/>
  <c r="Q25" i="2" s="1"/>
  <c r="R25" i="2"/>
  <c r="P21" i="2"/>
  <c r="Q21" i="2"/>
  <c r="O21" i="2"/>
  <c r="O8" i="2"/>
  <c r="O23" i="2" s="1"/>
  <c r="N13" i="2"/>
  <c r="N15" i="2" s="1"/>
  <c r="P13" i="2"/>
  <c r="V27" i="2" l="1"/>
  <c r="V29" i="2" s="1"/>
  <c r="V21" i="2"/>
  <c r="V7" i="2"/>
  <c r="V8" i="2" s="1"/>
  <c r="S25" i="2"/>
  <c r="Q7" i="2"/>
  <c r="Q8" i="2" s="1"/>
  <c r="Q27" i="2"/>
  <c r="O13" i="2"/>
  <c r="O24" i="2" s="1"/>
  <c r="Q12" i="2"/>
  <c r="N24" i="2"/>
  <c r="O15" i="2"/>
  <c r="N17" i="2"/>
  <c r="O17" i="2"/>
  <c r="P24" i="2"/>
  <c r="P15" i="2"/>
  <c r="Q13" i="2" l="1"/>
  <c r="S12" i="2"/>
  <c r="R27" i="2"/>
  <c r="R21" i="2"/>
  <c r="R7" i="2"/>
  <c r="R8" i="2" s="1"/>
  <c r="R12" i="2"/>
  <c r="T25" i="2"/>
  <c r="P17" i="2"/>
  <c r="U25" i="2" l="1"/>
  <c r="V25" i="2" s="1"/>
  <c r="V12" i="2" s="1"/>
  <c r="V13" i="2" s="1"/>
  <c r="V24" i="2" s="1"/>
  <c r="R13" i="2"/>
  <c r="R24" i="2" s="1"/>
  <c r="S27" i="2"/>
  <c r="S21" i="2"/>
  <c r="S7" i="2"/>
  <c r="S8" i="2" s="1"/>
  <c r="S13" i="2" s="1"/>
  <c r="S24" i="2" s="1"/>
  <c r="Q24" i="2"/>
  <c r="Q15" i="2"/>
  <c r="Q16" i="2" l="1"/>
  <c r="Q17" i="2" s="1"/>
  <c r="Q31" i="2" s="1"/>
  <c r="Q29" i="2"/>
  <c r="T27" i="2"/>
  <c r="T7" i="2"/>
  <c r="T8" i="2" s="1"/>
  <c r="T21" i="2"/>
  <c r="T12" i="2"/>
  <c r="U12" i="2"/>
  <c r="R29" i="2"/>
  <c r="R14" i="2" l="1"/>
  <c r="R15" i="2" s="1"/>
  <c r="T13" i="2"/>
  <c r="T24" i="2" s="1"/>
  <c r="U27" i="2"/>
  <c r="U21" i="2"/>
  <c r="U7" i="2"/>
  <c r="U8" i="2" s="1"/>
  <c r="U13" i="2" s="1"/>
  <c r="U24" i="2" s="1"/>
  <c r="R16" i="2" l="1"/>
  <c r="R17" i="2" s="1"/>
  <c r="R31" i="2" s="1"/>
  <c r="S29" i="2"/>
  <c r="S14" i="2" l="1"/>
  <c r="S15" i="2" s="1"/>
  <c r="S16" i="2" s="1"/>
  <c r="S17" i="2" s="1"/>
  <c r="S31" i="2" s="1"/>
  <c r="T14" i="2" s="1"/>
  <c r="T15" i="2" s="1"/>
  <c r="T16" i="2" s="1"/>
  <c r="T17" i="2" s="1"/>
  <c r="T29" i="2" l="1"/>
  <c r="T31" i="2"/>
  <c r="U14" i="2" s="1"/>
  <c r="U15" i="2" s="1"/>
  <c r="U29" i="2"/>
  <c r="X29" i="2" s="1"/>
  <c r="Y29" i="2" s="1"/>
  <c r="Z29" i="2" s="1"/>
  <c r="U16" i="2" l="1"/>
  <c r="U17" i="2" s="1"/>
  <c r="U31" i="2" s="1"/>
  <c r="V14" i="2" s="1"/>
  <c r="V15" i="2" s="1"/>
  <c r="AA29" i="2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V16" i="2" l="1"/>
  <c r="V17" i="2"/>
  <c r="V31" i="2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Y22" i="2"/>
  <c r="Y23" i="2" s="1"/>
  <c r="Y24" i="2" s="1"/>
</calcChain>
</file>

<file path=xl/sharedStrings.xml><?xml version="1.0" encoding="utf-8"?>
<sst xmlns="http://schemas.openxmlformats.org/spreadsheetml/2006/main" count="50" uniqueCount="44">
  <si>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</si>
  <si>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</si>
  <si>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</si>
  <si>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</si>
  <si>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</si>
  <si>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</si>
  <si>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</si>
  <si>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</si>
  <si>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</si>
  <si>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</si>
  <si>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Advertising</t>
  </si>
  <si>
    <t>Reality Labs</t>
  </si>
  <si>
    <t>S&amp;M</t>
  </si>
  <si>
    <t>G&amp;A</t>
  </si>
  <si>
    <t>OPEX</t>
  </si>
  <si>
    <t>Operating Income</t>
  </si>
  <si>
    <t>Pretax Income</t>
  </si>
  <si>
    <t>Interest</t>
  </si>
  <si>
    <t>Tax</t>
  </si>
  <si>
    <t>Net Income</t>
  </si>
  <si>
    <t>EPS</t>
  </si>
  <si>
    <t>Revenue Growth</t>
  </si>
  <si>
    <t>Gross Margin</t>
  </si>
  <si>
    <t>Operating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</si>
  <si>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</si>
  <si>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</si>
  <si>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</si>
  <si>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</si>
  <si>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</si>
  <si>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</si>
  <si>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</si>
  <si>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</si>
  <si>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</si>
  <si>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Q225</t>
  </si>
  <si>
    <t>Q325</t>
  </si>
  <si>
    <t>Q425</t>
  </si>
  <si>
    <t>Other</t>
  </si>
  <si>
    <t>ROIC</t>
  </si>
  <si>
    <t>Maturity</t>
  </si>
  <si>
    <t>Discount</t>
  </si>
  <si>
    <t>NPV</t>
  </si>
  <si>
    <t>OPEX % of R</t>
  </si>
  <si>
    <t>Main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</si>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</sst>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  <xf numFmtId="4" fontId="2" fillId="0" borderId="0" xfId="0" applyNumberFormat="1" applyFont="1"/>
    <xf numFmtId="3" fontId="4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9525</xdr:rowOff>
    </xdr:from>
    <xdr:to>
      <xdr:col>6</xdr:col>
      <xdr:colOff>9525</xdr:colOff>
      <xdr:row>37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D6462B-F670-65B3-047A-AE81BBCF0E31}"/>
            </a:ext>
          </a:extLst>
        </xdr:cNvPr>
        <xdr:cNvCxnSpPr/>
      </xdr:nvCxnSpPr>
      <xdr:spPr>
        <a:xfrm>
          <a:off x="3552825" y="9525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28575</xdr:colOff>
      <xdr:row>37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B661-B4C6-40FF-91D5-EDE21B27AAA1}"/>
            </a:ext>
          </a:extLst>
        </xdr:cNvPr>
        <xdr:cNvCxnSpPr/>
      </xdr:nvCxnSpPr>
      <xdr:spPr>
        <a:xfrm>
          <a:off x="9667875" y="0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B066-5213-42B1-820E-C438AF6621F9}">
  <dimension ref="A1:I7"/>
  <sheetViews>
    <sheetView zoomScale="115" zoomScaleNormal="115" workbookViewId="0">
      <selection activeCell="G8" sqref="G8"/>
    </sheetView>
  </sheetViews>
  <sheetFormatPr defaultRowHeight="12.75" x14ac:dyDescent="0.2"/>
  <cols>
    <col min="1" max="3" width="9.140625" style="2"/>
    <col min="4" max="4" width="11.140625" style="2" customWidth="1"/>
    <col min="5" max="16384" width="9.140625" style="2"/>
  </cols>
  <sheetData>
    <row r="1" spans="1:9" x14ac:dyDescent="0.2">
      <c r="A1" s="1"/>
    </row>
    <row r="2" spans="1:9" x14ac:dyDescent="0.2">
      <c r="G2" s="2" t="s">
        <v>0</v>
      </c>
      <c r="H2" s="3">
        <v>800</v>
      </c>
    </row>
    <row r="3" spans="1:9" x14ac:dyDescent="0.2">
      <c r="G3" s="2" t="s">
        <v>1</v>
      </c>
      <c r="H3" s="4">
        <f>2189.9+343.8</f>
        <v>2533.7000000000003</v>
      </c>
      <c r="I3" s="2" t="s">
        <v>31</v>
      </c>
    </row>
    <row r="4" spans="1:9" x14ac:dyDescent="0.2">
      <c r="G4" s="2" t="s">
        <v>2</v>
      </c>
      <c r="H4" s="4">
        <f>H3*H2</f>
        <v>2026960.0000000002</v>
      </c>
    </row>
    <row r="5" spans="1:9" x14ac:dyDescent="0.2">
      <c r="G5" s="2" t="s">
        <v>3</v>
      </c>
      <c r="H5" s="4">
        <f>43889+33926</f>
        <v>77815</v>
      </c>
      <c r="I5" s="2" t="s">
        <v>31</v>
      </c>
    </row>
    <row r="6" spans="1:9" x14ac:dyDescent="0.2">
      <c r="G6" s="2" t="s">
        <v>4</v>
      </c>
      <c r="H6" s="4">
        <f>28826+9987+2716</f>
        <v>41529</v>
      </c>
      <c r="I6" s="2" t="s">
        <v>31</v>
      </c>
    </row>
    <row r="7" spans="1:9" x14ac:dyDescent="0.2">
      <c r="G7" s="2" t="s">
        <v>5</v>
      </c>
      <c r="H7" s="4">
        <f>H4+H6-H5</f>
        <v>1990674.0000000002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A4-BDC3-4CA3-B5F0-D343E2844B7B}">
  <dimension ref="A1:DL35"/>
  <sheetViews>
    <sheetView tabSelected="1" workbookViewId="0">
      <pane xSplit="2" ySplit="2" topLeftCell="P3" activePane="bottomRight" state="frozen"/>
      <selection pane="topRight" activeCell="B1" sqref="B1"/>
      <selection pane="bottomLeft" activeCell="A2" sqref="A2"/>
      <selection pane="bottomRight" activeCell="W28" sqref="W28"/>
    </sheetView>
  </sheetViews>
  <sheetFormatPr defaultRowHeight="12.75" x14ac:dyDescent="0.2"/>
  <cols>
    <col min="1" max="1" width="5" style="4" bestFit="1" customWidth="1"/>
    <col min="2" max="2" width="17" style="4" customWidth="1"/>
    <col min="3" max="5" width="9.140625" style="4"/>
    <col min="6" max="6" width="9.140625" style="4" customWidth="1"/>
    <col min="7" max="16" width="9.140625" style="4"/>
    <col min="17" max="17" width="9.5703125" style="4" bestFit="1" customWidth="1"/>
    <col min="18" max="23" width="9.140625" style="4"/>
    <col min="24" max="24" width="10.28515625" style="4" customWidth="1"/>
    <col min="25" max="16384" width="9.140625" style="4"/>
  </cols>
  <sheetData>
    <row r="1" spans="1:22" ht="14.25" x14ac:dyDescent="0.2">
      <c r="A1" s="11" t="s">
        <v>42</v>
      </c>
    </row>
    <row r="2" spans="1:22" x14ac:dyDescent="0.2"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L2" s="5">
        <v>2020</v>
      </c>
      <c r="M2" s="5">
        <f>L2+1</f>
        <v>2021</v>
      </c>
      <c r="N2" s="5">
        <f t="shared" ref="N2:V2" si="0">M2+1</f>
        <v>2022</v>
      </c>
      <c r="O2" s="5">
        <f t="shared" si="0"/>
        <v>2023</v>
      </c>
      <c r="P2" s="5">
        <f t="shared" si="0"/>
        <v>2024</v>
      </c>
      <c r="Q2" s="5">
        <f t="shared" si="0"/>
        <v>2025</v>
      </c>
      <c r="R2" s="5">
        <f t="shared" si="0"/>
        <v>2026</v>
      </c>
      <c r="S2" s="5">
        <f t="shared" si="0"/>
        <v>2027</v>
      </c>
      <c r="T2" s="5">
        <f t="shared" si="0"/>
        <v>2028</v>
      </c>
      <c r="U2" s="5">
        <f t="shared" si="0"/>
        <v>2029</v>
      </c>
      <c r="V2" s="5">
        <f t="shared" si="0"/>
        <v>2030</v>
      </c>
    </row>
    <row r="3" spans="1:22" x14ac:dyDescent="0.2">
      <c r="B3" s="4" t="s">
        <v>10</v>
      </c>
      <c r="N3" s="4">
        <v>113642</v>
      </c>
      <c r="O3" s="4">
        <v>131948</v>
      </c>
      <c r="P3" s="4">
        <v>160633</v>
      </c>
    </row>
    <row r="4" spans="1:22" x14ac:dyDescent="0.2">
      <c r="B4" s="4" t="s">
        <v>36</v>
      </c>
      <c r="N4" s="4">
        <v>808</v>
      </c>
      <c r="O4" s="4">
        <v>1058</v>
      </c>
      <c r="P4" s="4">
        <v>1722</v>
      </c>
    </row>
    <row r="5" spans="1:22" x14ac:dyDescent="0.2">
      <c r="B5" s="4" t="s">
        <v>11</v>
      </c>
      <c r="N5" s="4">
        <v>2159</v>
      </c>
      <c r="O5" s="4">
        <v>1896</v>
      </c>
      <c r="P5" s="4">
        <v>2146</v>
      </c>
    </row>
    <row r="6" spans="1:22" s="6" customFormat="1" x14ac:dyDescent="0.2">
      <c r="B6" s="6" t="s">
        <v>6</v>
      </c>
      <c r="N6" s="6">
        <f>SUM(N3:N5)</f>
        <v>116609</v>
      </c>
      <c r="O6" s="6">
        <f t="shared" ref="O6:P6" si="1">SUM(O3:O5)</f>
        <v>134902</v>
      </c>
      <c r="P6" s="6">
        <f t="shared" si="1"/>
        <v>164501</v>
      </c>
      <c r="Q6" s="6">
        <f>P6*1.2</f>
        <v>197401.19999999998</v>
      </c>
      <c r="R6" s="6">
        <f t="shared" ref="R6:V6" si="2">Q6*1.2</f>
        <v>236881.43999999997</v>
      </c>
      <c r="S6" s="6">
        <f t="shared" si="2"/>
        <v>284257.72799999994</v>
      </c>
      <c r="T6" s="6">
        <f t="shared" si="2"/>
        <v>341109.2735999999</v>
      </c>
      <c r="U6" s="6">
        <f t="shared" si="2"/>
        <v>409331.12831999984</v>
      </c>
      <c r="V6" s="6">
        <f t="shared" si="2"/>
        <v>491197.35398399981</v>
      </c>
    </row>
    <row r="7" spans="1:22" x14ac:dyDescent="0.2">
      <c r="B7" s="4" t="s">
        <v>7</v>
      </c>
      <c r="N7" s="4">
        <v>25249</v>
      </c>
      <c r="O7" s="4">
        <v>25959</v>
      </c>
      <c r="P7" s="4">
        <v>30161</v>
      </c>
      <c r="Q7" s="4">
        <f>Q6*(1-Q23)</f>
        <v>35532.216000000008</v>
      </c>
      <c r="R7" s="4">
        <f>R6*(1-R23)</f>
        <v>42638.659200000009</v>
      </c>
      <c r="S7" s="4">
        <f>S6*(1-S23)</f>
        <v>51166.391040000002</v>
      </c>
      <c r="T7" s="4">
        <f>T6*(1-T23)</f>
        <v>61399.669247999998</v>
      </c>
      <c r="U7" s="4">
        <f>U6*(1-U23)</f>
        <v>73679.603097599989</v>
      </c>
      <c r="V7" s="4">
        <f>V6*(1-V23)</f>
        <v>88415.523717119984</v>
      </c>
    </row>
    <row r="8" spans="1:22" x14ac:dyDescent="0.2">
      <c r="B8" s="4" t="s">
        <v>8</v>
      </c>
      <c r="N8" s="4">
        <f>N6-N7</f>
        <v>91360</v>
      </c>
      <c r="O8" s="4">
        <f t="shared" ref="O8:U8" si="3">O6-O7</f>
        <v>108943</v>
      </c>
      <c r="P8" s="4">
        <f t="shared" si="3"/>
        <v>134340</v>
      </c>
      <c r="Q8" s="4">
        <f t="shared" si="3"/>
        <v>161868.98399999997</v>
      </c>
      <c r="R8" s="4">
        <f t="shared" si="3"/>
        <v>194242.78079999995</v>
      </c>
      <c r="S8" s="4">
        <f t="shared" si="3"/>
        <v>233091.33695999993</v>
      </c>
      <c r="T8" s="4">
        <f t="shared" si="3"/>
        <v>279709.60435199988</v>
      </c>
      <c r="U8" s="4">
        <f t="shared" si="3"/>
        <v>335651.52522239985</v>
      </c>
      <c r="V8" s="4">
        <f t="shared" ref="V8" si="4">V6-V7</f>
        <v>402781.83026687981</v>
      </c>
    </row>
    <row r="9" spans="1:22" x14ac:dyDescent="0.2">
      <c r="B9" s="4" t="s">
        <v>9</v>
      </c>
      <c r="N9" s="4">
        <v>35338</v>
      </c>
      <c r="O9" s="4">
        <v>38483</v>
      </c>
      <c r="P9" s="4">
        <v>43873</v>
      </c>
    </row>
    <row r="10" spans="1:22" x14ac:dyDescent="0.2">
      <c r="B10" s="4" t="s">
        <v>12</v>
      </c>
      <c r="N10" s="4">
        <v>15262</v>
      </c>
      <c r="O10" s="4">
        <v>12301</v>
      </c>
      <c r="P10" s="4">
        <v>11347</v>
      </c>
    </row>
    <row r="11" spans="1:22" x14ac:dyDescent="0.2">
      <c r="B11" s="4" t="s">
        <v>13</v>
      </c>
      <c r="N11" s="4">
        <v>11816</v>
      </c>
      <c r="O11" s="4">
        <v>11408</v>
      </c>
      <c r="P11" s="4">
        <v>9740</v>
      </c>
    </row>
    <row r="12" spans="1:22" x14ac:dyDescent="0.2">
      <c r="B12" s="4" t="s">
        <v>14</v>
      </c>
      <c r="N12" s="4">
        <f>SUM(N9:N11)</f>
        <v>62416</v>
      </c>
      <c r="O12" s="4">
        <f t="shared" ref="O12:P12" si="5">SUM(O9:O11)</f>
        <v>62192</v>
      </c>
      <c r="P12" s="4">
        <f t="shared" si="5"/>
        <v>64960</v>
      </c>
      <c r="Q12" s="4">
        <f>Q25*Q6</f>
        <v>76392.959999999992</v>
      </c>
      <c r="R12" s="4">
        <f>R25*R6</f>
        <v>89838.12096</v>
      </c>
      <c r="S12" s="4">
        <f>S25*S6</f>
        <v>105649.63024895999</v>
      </c>
      <c r="T12" s="4">
        <f>T25*T6</f>
        <v>124243.96517277695</v>
      </c>
      <c r="U12" s="4">
        <f>U25*U6</f>
        <v>146110.90304318565</v>
      </c>
      <c r="V12" s="4">
        <f>V25*V6</f>
        <v>171826.42197878635</v>
      </c>
    </row>
    <row r="13" spans="1:22" x14ac:dyDescent="0.2">
      <c r="B13" s="4" t="s">
        <v>15</v>
      </c>
      <c r="N13" s="4">
        <f>N8-N12</f>
        <v>28944</v>
      </c>
      <c r="O13" s="4">
        <f t="shared" ref="O13:U13" si="6">O8-O12</f>
        <v>46751</v>
      </c>
      <c r="P13" s="4">
        <f t="shared" si="6"/>
        <v>69380</v>
      </c>
      <c r="Q13" s="4">
        <f t="shared" si="6"/>
        <v>85476.023999999976</v>
      </c>
      <c r="R13" s="4">
        <f t="shared" si="6"/>
        <v>104404.65983999995</v>
      </c>
      <c r="S13" s="4">
        <f t="shared" si="6"/>
        <v>127441.70671103994</v>
      </c>
      <c r="T13" s="4">
        <f t="shared" si="6"/>
        <v>155465.63917922293</v>
      </c>
      <c r="U13" s="4">
        <f t="shared" si="6"/>
        <v>189540.6221792142</v>
      </c>
      <c r="V13" s="4">
        <f t="shared" ref="V13" si="7">V8-V12</f>
        <v>230955.40828809346</v>
      </c>
    </row>
    <row r="14" spans="1:22" x14ac:dyDescent="0.2">
      <c r="B14" s="4" t="s">
        <v>17</v>
      </c>
      <c r="N14" s="4">
        <v>-125</v>
      </c>
      <c r="O14" s="4">
        <v>677</v>
      </c>
      <c r="P14" s="4">
        <v>1283</v>
      </c>
      <c r="Q14" s="4">
        <f>P31*$Y$19</f>
        <v>725.72</v>
      </c>
      <c r="R14" s="4">
        <f>Q31*$Y$19</f>
        <v>2122.1882527999996</v>
      </c>
      <c r="S14" s="4">
        <f>R31*$Y$19</f>
        <v>3847.9231919033587</v>
      </c>
      <c r="T14" s="4">
        <f>S31*$Y$19</f>
        <v>5974.8151963310402</v>
      </c>
      <c r="U14" s="4">
        <f>T31*$Y$19</f>
        <v>8590.1505572150145</v>
      </c>
      <c r="V14" s="4">
        <f>U31*$Y$19</f>
        <v>11799.869075545166</v>
      </c>
    </row>
    <row r="15" spans="1:22" x14ac:dyDescent="0.2">
      <c r="B15" s="4" t="s">
        <v>16</v>
      </c>
      <c r="N15" s="4">
        <f>N13+N14</f>
        <v>28819</v>
      </c>
      <c r="O15" s="4">
        <f t="shared" ref="O15:U15" si="8">O13+O14</f>
        <v>47428</v>
      </c>
      <c r="P15" s="4">
        <f t="shared" si="8"/>
        <v>70663</v>
      </c>
      <c r="Q15" s="4">
        <f t="shared" si="8"/>
        <v>86201.743999999977</v>
      </c>
      <c r="R15" s="4">
        <f t="shared" si="8"/>
        <v>106526.84809279995</v>
      </c>
      <c r="S15" s="4">
        <f t="shared" si="8"/>
        <v>131289.6299029433</v>
      </c>
      <c r="T15" s="4">
        <f t="shared" si="8"/>
        <v>161440.45437555396</v>
      </c>
      <c r="U15" s="4">
        <f t="shared" si="8"/>
        <v>198130.77273642921</v>
      </c>
      <c r="V15" s="4">
        <f t="shared" ref="V15" si="9">V13+V14</f>
        <v>242755.27736363863</v>
      </c>
    </row>
    <row r="16" spans="1:22" x14ac:dyDescent="0.2">
      <c r="B16" s="4" t="s">
        <v>18</v>
      </c>
      <c r="N16" s="4">
        <v>5619</v>
      </c>
      <c r="O16" s="4">
        <v>8330</v>
      </c>
      <c r="P16" s="4">
        <v>8303</v>
      </c>
      <c r="Q16" s="4">
        <f>Q15*0.19</f>
        <v>16378.331359999996</v>
      </c>
      <c r="R16" s="4">
        <f t="shared" ref="R16:V16" si="10">R15*0.19</f>
        <v>20240.101137631991</v>
      </c>
      <c r="S16" s="4">
        <f t="shared" si="10"/>
        <v>24945.029681559226</v>
      </c>
      <c r="T16" s="4">
        <f t="shared" si="10"/>
        <v>30673.686331355253</v>
      </c>
      <c r="U16" s="4">
        <f t="shared" si="10"/>
        <v>37644.846819921549</v>
      </c>
      <c r="V16" s="4">
        <f t="shared" si="10"/>
        <v>46123.502699091339</v>
      </c>
    </row>
    <row r="17" spans="2:116" s="6" customFormat="1" x14ac:dyDescent="0.2">
      <c r="B17" s="6" t="s">
        <v>19</v>
      </c>
      <c r="N17" s="6">
        <f>N15-N16</f>
        <v>23200</v>
      </c>
      <c r="O17" s="6">
        <f t="shared" ref="O17:U17" si="11">O15-O16</f>
        <v>39098</v>
      </c>
      <c r="P17" s="6">
        <f t="shared" si="11"/>
        <v>62360</v>
      </c>
      <c r="Q17" s="6">
        <f t="shared" si="11"/>
        <v>69823.41263999998</v>
      </c>
      <c r="R17" s="6">
        <f t="shared" si="11"/>
        <v>86286.746955167953</v>
      </c>
      <c r="S17" s="6">
        <f t="shared" si="11"/>
        <v>106344.60022138407</v>
      </c>
      <c r="T17" s="6">
        <f t="shared" si="11"/>
        <v>130766.76804419872</v>
      </c>
      <c r="U17" s="6">
        <f t="shared" si="11"/>
        <v>160485.92591650767</v>
      </c>
      <c r="V17" s="6">
        <f t="shared" ref="V17" si="12">V15-V16</f>
        <v>196631.77466454729</v>
      </c>
      <c r="W17" s="6">
        <f>V17*(1+$Y$20)</f>
        <v>198598.09241119277</v>
      </c>
      <c r="X17" s="6">
        <f>W17*(1+$Y$20)</f>
        <v>200584.07333530471</v>
      </c>
      <c r="Y17" s="6">
        <f>X17*(1+$Y$20)</f>
        <v>202589.91406865776</v>
      </c>
      <c r="Z17" s="6">
        <f>Y17*(1+$Y$20)</f>
        <v>204615.81320934434</v>
      </c>
      <c r="AA17" s="6">
        <f>Z17*(1+$Y$20)</f>
        <v>206661.97134143778</v>
      </c>
      <c r="AB17" s="6">
        <f>AA17*(1+$Y$20)</f>
        <v>208728.59105485215</v>
      </c>
      <c r="AC17" s="6">
        <f>AB17*(1+$Y$20)</f>
        <v>210815.87696540068</v>
      </c>
      <c r="AD17" s="6">
        <f>AC17*(1+$Y$20)</f>
        <v>212924.0357350547</v>
      </c>
      <c r="AE17" s="6">
        <f>AD17*(1+$Y$20)</f>
        <v>215053.27609240526</v>
      </c>
      <c r="AF17" s="6">
        <f>AE17*(1+$Y$20)</f>
        <v>217203.8088533293</v>
      </c>
      <c r="AG17" s="6">
        <f>AF17*(1+$Y$20)</f>
        <v>219375.8469418626</v>
      </c>
      <c r="AH17" s="6">
        <f>AG17*(1+$Y$20)</f>
        <v>221569.60541128123</v>
      </c>
      <c r="AI17" s="6">
        <f>AH17*(1+$Y$20)</f>
        <v>223785.30146539403</v>
      </c>
      <c r="AJ17" s="6">
        <f>AI17*(1+$Y$20)</f>
        <v>226023.15448004799</v>
      </c>
      <c r="AK17" s="6">
        <f>AJ17*(1+$Y$20)</f>
        <v>228283.38602484847</v>
      </c>
      <c r="AL17" s="6">
        <f>AK17*(1+$Y$20)</f>
        <v>230566.21988509694</v>
      </c>
      <c r="AM17" s="6">
        <f>AL17*(1+$Y$20)</f>
        <v>232871.88208394792</v>
      </c>
      <c r="AN17" s="6">
        <f>AM17*(1+$Y$20)</f>
        <v>235200.6009047874</v>
      </c>
      <c r="AO17" s="6">
        <f>AN17*(1+$Y$20)</f>
        <v>237552.60691383528</v>
      </c>
      <c r="AP17" s="6">
        <f>AO17*(1+$Y$20)</f>
        <v>239928.13298297362</v>
      </c>
      <c r="AQ17" s="6">
        <f>AP17*(1+$Y$20)</f>
        <v>242327.41431280336</v>
      </c>
      <c r="AR17" s="6">
        <f>AQ17*(1+$Y$20)</f>
        <v>244750.68845593141</v>
      </c>
      <c r="AS17" s="6">
        <f>AR17*(1+$Y$20)</f>
        <v>247198.19534049073</v>
      </c>
      <c r="AT17" s="6">
        <f>AS17*(1+$Y$20)</f>
        <v>249670.17729389563</v>
      </c>
      <c r="AU17" s="6">
        <f>AT17*(1+$Y$20)</f>
        <v>252166.87906683458</v>
      </c>
      <c r="AV17" s="6">
        <f>AU17*(1+$Y$20)</f>
        <v>254688.54785750291</v>
      </c>
      <c r="AW17" s="6">
        <f>AV17*(1+$Y$20)</f>
        <v>257235.43333607796</v>
      </c>
      <c r="AX17" s="6">
        <f>AW17*(1+$Y$20)</f>
        <v>259807.78766943875</v>
      </c>
      <c r="AY17" s="6">
        <f>AX17*(1+$Y$20)</f>
        <v>262405.86554613314</v>
      </c>
      <c r="AZ17" s="6">
        <f>AY17*(1+$Y$20)</f>
        <v>265029.92420159449</v>
      </c>
      <c r="BA17" s="6">
        <f>AZ17*(1+$Y$20)</f>
        <v>267680.22344361042</v>
      </c>
      <c r="BB17" s="6">
        <f>BA17*(1+$Y$20)</f>
        <v>270357.02567804651</v>
      </c>
      <c r="BC17" s="6">
        <f>BB17*(1+$Y$20)</f>
        <v>273060.595934827</v>
      </c>
      <c r="BD17" s="6">
        <f>BC17*(1+$Y$20)</f>
        <v>275791.20189417526</v>
      </c>
      <c r="BE17" s="6">
        <f>BD17*(1+$Y$20)</f>
        <v>278549.11391311703</v>
      </c>
      <c r="BF17" s="6">
        <f>BE17*(1+$Y$20)</f>
        <v>281334.60505224823</v>
      </c>
      <c r="BG17" s="6">
        <f>BF17*(1+$Y$20)</f>
        <v>284147.95110277069</v>
      </c>
      <c r="BH17" s="6">
        <f>BG17*(1+$Y$20)</f>
        <v>286989.43061379838</v>
      </c>
      <c r="BI17" s="6">
        <f>BH17*(1+$Y$20)</f>
        <v>289859.32491993636</v>
      </c>
      <c r="BJ17" s="6">
        <f>BI17*(1+$Y$20)</f>
        <v>292757.91816913575</v>
      </c>
      <c r="BK17" s="6">
        <f>BJ17*(1+$Y$20)</f>
        <v>295685.49735082709</v>
      </c>
      <c r="BL17" s="6">
        <f>BK17*(1+$Y$20)</f>
        <v>298642.35232433537</v>
      </c>
      <c r="BM17" s="6">
        <f>BL17*(1+$Y$20)</f>
        <v>301628.77584757871</v>
      </c>
      <c r="BN17" s="6">
        <f>BM17*(1+$Y$20)</f>
        <v>304645.06360605452</v>
      </c>
      <c r="BO17" s="6">
        <f>BN17*(1+$Y$20)</f>
        <v>307691.51424211508</v>
      </c>
      <c r="BP17" s="6">
        <f>BO17*(1+$Y$20)</f>
        <v>310768.42938453623</v>
      </c>
      <c r="BQ17" s="6">
        <f>BP17*(1+$Y$20)</f>
        <v>313876.1136783816</v>
      </c>
      <c r="BR17" s="6">
        <f>BQ17*(1+$Y$20)</f>
        <v>317014.87481516541</v>
      </c>
      <c r="BS17" s="6">
        <f>BR17*(1+$Y$20)</f>
        <v>320185.02356331708</v>
      </c>
      <c r="BT17" s="6">
        <f>BS17*(1+$Y$20)</f>
        <v>323386.87379895023</v>
      </c>
      <c r="BU17" s="6">
        <f>BT17*(1+$Y$20)</f>
        <v>326620.74253693974</v>
      </c>
      <c r="BV17" s="6">
        <f>BU17*(1+$Y$20)</f>
        <v>329886.94996230915</v>
      </c>
      <c r="BW17" s="6">
        <f>BV17*(1+$Y$20)</f>
        <v>333185.81946193223</v>
      </c>
      <c r="BX17" s="6">
        <f>BW17*(1+$Y$20)</f>
        <v>336517.67765655153</v>
      </c>
      <c r="BY17" s="6">
        <f>BX17*(1+$Y$20)</f>
        <v>339882.85443311703</v>
      </c>
      <c r="BZ17" s="6">
        <f>BY17*(1+$Y$20)</f>
        <v>343281.68297744822</v>
      </c>
      <c r="CA17" s="6">
        <f>BZ17*(1+$Y$20)</f>
        <v>346714.49980722269</v>
      </c>
      <c r="CB17" s="6">
        <f>CA17*(1+$Y$20)</f>
        <v>350181.64480529493</v>
      </c>
      <c r="CC17" s="6">
        <f>CB17*(1+$Y$20)</f>
        <v>353683.46125334786</v>
      </c>
      <c r="CD17" s="6">
        <f>CC17*(1+$Y$20)</f>
        <v>357220.29586588137</v>
      </c>
      <c r="CE17" s="6">
        <f>CD17*(1+$Y$20)</f>
        <v>360792.49882454018</v>
      </c>
      <c r="CF17" s="6">
        <f>CE17*(1+$Y$20)</f>
        <v>364400.42381278559</v>
      </c>
      <c r="CG17" s="6">
        <f>CF17*(1+$Y$20)</f>
        <v>368044.42805091344</v>
      </c>
      <c r="CH17" s="6">
        <f>CG17*(1+$Y$20)</f>
        <v>371724.87233142258</v>
      </c>
      <c r="CI17" s="6">
        <f>CH17*(1+$Y$20)</f>
        <v>375442.12105473678</v>
      </c>
      <c r="CJ17" s="6">
        <f>CI17*(1+$Y$20)</f>
        <v>379196.54226528417</v>
      </c>
      <c r="CK17" s="6">
        <f>CJ17*(1+$Y$20)</f>
        <v>382988.507687937</v>
      </c>
      <c r="CL17" s="6">
        <f>CK17*(1+$Y$20)</f>
        <v>386818.39276481635</v>
      </c>
      <c r="CM17" s="6">
        <f>CL17*(1+$Y$20)</f>
        <v>390686.57669246453</v>
      </c>
      <c r="CN17" s="6">
        <f>CM17*(1+$Y$20)</f>
        <v>394593.44245938916</v>
      </c>
      <c r="CO17" s="6">
        <f>CN17*(1+$Y$20)</f>
        <v>398539.37688398303</v>
      </c>
      <c r="CP17" s="6">
        <f>CO17*(1+$Y$20)</f>
        <v>402524.77065282286</v>
      </c>
      <c r="CQ17" s="6">
        <f>CP17*(1+$Y$20)</f>
        <v>406550.01835935109</v>
      </c>
      <c r="CR17" s="6">
        <f>CQ17*(1+$Y$20)</f>
        <v>410615.51854294463</v>
      </c>
      <c r="CS17" s="6">
        <f>CR17*(1+$Y$20)</f>
        <v>414721.67372837407</v>
      </c>
      <c r="CT17" s="6">
        <f>CS17*(1+$Y$20)</f>
        <v>418868.89046565781</v>
      </c>
      <c r="CU17" s="6">
        <f>CT17*(1+$Y$20)</f>
        <v>423057.57937031437</v>
      </c>
      <c r="CV17" s="6">
        <f>CU17*(1+$Y$20)</f>
        <v>427288.15516401752</v>
      </c>
      <c r="CW17" s="6">
        <f>CV17*(1+$Y$20)</f>
        <v>431561.03671565768</v>
      </c>
      <c r="CX17" s="6">
        <f>CW17*(1+$Y$20)</f>
        <v>435876.64708281425</v>
      </c>
      <c r="CY17" s="6">
        <f>CX17*(1+$Y$20)</f>
        <v>440235.4135536424</v>
      </c>
      <c r="CZ17" s="6">
        <f>CY17*(1+$Y$20)</f>
        <v>444637.76768917881</v>
      </c>
      <c r="DA17" s="6">
        <f>CZ17*(1+$Y$20)</f>
        <v>449084.14536607062</v>
      </c>
      <c r="DB17" s="6">
        <f>DA17*(1+$Y$20)</f>
        <v>453574.9868197313</v>
      </c>
      <c r="DC17" s="6">
        <f>DB17*(1+$Y$20)</f>
        <v>458110.73668792861</v>
      </c>
      <c r="DD17" s="6">
        <f>DC17*(1+$Y$20)</f>
        <v>462691.84405480791</v>
      </c>
      <c r="DE17" s="6">
        <f>DD17*(1+$Y$20)</f>
        <v>467318.76249535597</v>
      </c>
      <c r="DF17" s="6">
        <f>DE17*(1+$Y$20)</f>
        <v>471991.95012030954</v>
      </c>
      <c r="DG17" s="6">
        <f>DF17*(1+$Y$20)</f>
        <v>476711.86962151265</v>
      </c>
      <c r="DH17" s="6">
        <f>DG17*(1+$Y$20)</f>
        <v>481478.98831772781</v>
      </c>
    </row>
    <row r="18" spans="2:116" x14ac:dyDescent="0.2">
      <c r="B18" s="4" t="s">
        <v>1</v>
      </c>
      <c r="O18" s="7"/>
      <c r="P18" s="7"/>
      <c r="Q18" s="7"/>
      <c r="R18" s="7"/>
      <c r="S18" s="7"/>
      <c r="T18" s="7"/>
      <c r="U18" s="7"/>
      <c r="V18" s="7"/>
    </row>
    <row r="19" spans="2:116" x14ac:dyDescent="0.2">
      <c r="B19" s="4" t="s">
        <v>20</v>
      </c>
      <c r="X19" s="4" t="s">
        <v>37</v>
      </c>
      <c r="Y19" s="7">
        <v>0.02</v>
      </c>
    </row>
    <row r="20" spans="2:116" x14ac:dyDescent="0.2">
      <c r="X20" s="4" t="s">
        <v>38</v>
      </c>
      <c r="Y20" s="7">
        <v>0.01</v>
      </c>
    </row>
    <row r="21" spans="2:116" s="6" customFormat="1" x14ac:dyDescent="0.2">
      <c r="B21" s="6" t="s">
        <v>21</v>
      </c>
      <c r="O21" s="8">
        <f>O6/N6-1</f>
        <v>0.15687468377226454</v>
      </c>
      <c r="P21" s="8">
        <f>P6/O6-1</f>
        <v>0.21941112807816054</v>
      </c>
      <c r="Q21" s="8">
        <f t="shared" ref="Q21:V21" si="13">Q6/P6-1</f>
        <v>0.19999999999999996</v>
      </c>
      <c r="R21" s="8">
        <f t="shared" si="13"/>
        <v>0.19999999999999996</v>
      </c>
      <c r="S21" s="8">
        <f t="shared" si="13"/>
        <v>0.19999999999999996</v>
      </c>
      <c r="T21" s="8">
        <f t="shared" si="13"/>
        <v>0.19999999999999996</v>
      </c>
      <c r="U21" s="8">
        <f t="shared" si="13"/>
        <v>0.19999999999999996</v>
      </c>
      <c r="V21" s="8">
        <f t="shared" si="13"/>
        <v>0.19999999999999996</v>
      </c>
      <c r="X21" s="4" t="s">
        <v>39</v>
      </c>
      <c r="Y21" s="9">
        <v>8.5000000000000006E-2</v>
      </c>
    </row>
    <row r="22" spans="2:116" x14ac:dyDescent="0.2">
      <c r="X22" s="4" t="s">
        <v>40</v>
      </c>
      <c r="Y22" s="4">
        <f>NPV(Y21,Q29:DH29)+Main!H5-Main!H6</f>
        <v>1990408.4427748327</v>
      </c>
    </row>
    <row r="23" spans="2:116" s="6" customFormat="1" x14ac:dyDescent="0.2">
      <c r="B23" s="6" t="s">
        <v>22</v>
      </c>
      <c r="N23" s="8">
        <f>N8/N6</f>
        <v>0.78347297378418479</v>
      </c>
      <c r="O23" s="8">
        <f>O8/O6</f>
        <v>0.8075714222176098</v>
      </c>
      <c r="P23" s="8">
        <f>P8/P6</f>
        <v>0.81665157050717019</v>
      </c>
      <c r="Q23" s="8">
        <v>0.82</v>
      </c>
      <c r="R23" s="8">
        <v>0.82</v>
      </c>
      <c r="S23" s="8">
        <v>0.82</v>
      </c>
      <c r="T23" s="8">
        <v>0.82</v>
      </c>
      <c r="U23" s="8">
        <v>0.82</v>
      </c>
      <c r="V23" s="8">
        <v>0.82</v>
      </c>
      <c r="X23" s="4" t="s">
        <v>43</v>
      </c>
      <c r="Y23" s="10">
        <f>Y22/Main!H3</f>
        <v>785.57384172350021</v>
      </c>
    </row>
    <row r="24" spans="2:116" x14ac:dyDescent="0.2">
      <c r="B24" s="4" t="s">
        <v>23</v>
      </c>
      <c r="N24" s="7">
        <f>N13/N6</f>
        <v>0.24821411726367604</v>
      </c>
      <c r="O24" s="7">
        <f>O13/O6</f>
        <v>0.34655527716416362</v>
      </c>
      <c r="P24" s="7">
        <f>P13/P6</f>
        <v>0.42176035404040096</v>
      </c>
      <c r="Q24" s="7">
        <f>Q13/Q6</f>
        <v>0.43300660786256612</v>
      </c>
      <c r="R24" s="7">
        <f>R13/R6</f>
        <v>0.44074647570531472</v>
      </c>
      <c r="S24" s="7">
        <f>S13/S6</f>
        <v>0.44833154619120841</v>
      </c>
      <c r="T24" s="7">
        <f>T13/T6</f>
        <v>0.45576491526738422</v>
      </c>
      <c r="U24" s="7">
        <f>U13/U6</f>
        <v>0.46304961696203667</v>
      </c>
      <c r="V24" s="7">
        <f>V13/V6</f>
        <v>0.47018862462279581</v>
      </c>
      <c r="Y24" s="7">
        <f>Y23/Main!H2-1</f>
        <v>-1.8032697845624779E-2</v>
      </c>
    </row>
    <row r="25" spans="2:116" x14ac:dyDescent="0.2">
      <c r="B25" s="4" t="s">
        <v>41</v>
      </c>
      <c r="N25" s="7">
        <f>N12/N6</f>
        <v>0.53525885652050875</v>
      </c>
      <c r="O25" s="7">
        <f>O12/O6</f>
        <v>0.46101614505344618</v>
      </c>
      <c r="P25" s="7">
        <f>P12/P6</f>
        <v>0.39489121646676922</v>
      </c>
      <c r="Q25" s="7">
        <f>P25*0.98</f>
        <v>0.38699339213743383</v>
      </c>
      <c r="R25" s="7">
        <f t="shared" ref="R25:V25" si="14">Q25*0.98</f>
        <v>0.37925352429468517</v>
      </c>
      <c r="S25" s="7">
        <f t="shared" si="14"/>
        <v>0.37166845380879149</v>
      </c>
      <c r="T25" s="7">
        <f t="shared" si="14"/>
        <v>0.36423508473261568</v>
      </c>
      <c r="U25" s="7">
        <f t="shared" si="14"/>
        <v>0.35695038303796334</v>
      </c>
      <c r="V25" s="7">
        <f t="shared" si="14"/>
        <v>0.34981137537720408</v>
      </c>
    </row>
    <row r="26" spans="2:116" x14ac:dyDescent="0.2">
      <c r="N26" s="7"/>
      <c r="O26" s="7"/>
      <c r="P26" s="7"/>
      <c r="Q26" s="7"/>
      <c r="R26" s="7"/>
      <c r="S26" s="7"/>
      <c r="T26" s="7"/>
      <c r="U26" s="7"/>
      <c r="V26" s="7"/>
    </row>
    <row r="27" spans="2:116" x14ac:dyDescent="0.2">
      <c r="B27" s="4" t="s">
        <v>24</v>
      </c>
      <c r="N27" s="4">
        <v>50475</v>
      </c>
      <c r="O27" s="4">
        <v>71113</v>
      </c>
      <c r="P27" s="4">
        <v>91328</v>
      </c>
      <c r="Q27" s="4">
        <f>Q6*0.6</f>
        <v>118440.71999999999</v>
      </c>
      <c r="R27" s="4">
        <f>R6*0.6</f>
        <v>142128.86399999997</v>
      </c>
      <c r="S27" s="4">
        <f>S6*0.6</f>
        <v>170554.63679999995</v>
      </c>
      <c r="T27" s="4">
        <f>T6*0.6</f>
        <v>204665.56415999992</v>
      </c>
      <c r="U27" s="4">
        <f>U6*0.6</f>
        <v>245598.67699199991</v>
      </c>
      <c r="V27" s="4">
        <f>V6*0.6</f>
        <v>294718.4123903999</v>
      </c>
    </row>
    <row r="28" spans="2:116" x14ac:dyDescent="0.2">
      <c r="B28" s="4" t="s">
        <v>25</v>
      </c>
      <c r="N28" s="4">
        <v>31186</v>
      </c>
      <c r="O28" s="4">
        <v>27045</v>
      </c>
      <c r="P28" s="4">
        <v>37256</v>
      </c>
      <c r="Q28" s="4">
        <v>70000</v>
      </c>
      <c r="R28" s="4">
        <f>Q28*1.1</f>
        <v>77000</v>
      </c>
      <c r="S28" s="4">
        <f t="shared" ref="S28:U28" si="15">R28*1.1</f>
        <v>84700</v>
      </c>
      <c r="T28" s="4">
        <f t="shared" si="15"/>
        <v>93170.000000000015</v>
      </c>
      <c r="U28" s="4">
        <f t="shared" si="15"/>
        <v>102487.00000000003</v>
      </c>
      <c r="V28" s="4">
        <f t="shared" ref="V28" si="16">U28*1.1</f>
        <v>112735.70000000004</v>
      </c>
    </row>
    <row r="29" spans="2:116" s="6" customFormat="1" x14ac:dyDescent="0.2">
      <c r="B29" s="6" t="s">
        <v>26</v>
      </c>
      <c r="N29" s="6">
        <f>N27-N28</f>
        <v>19289</v>
      </c>
      <c r="O29" s="6">
        <f t="shared" ref="O29:U29" si="17">O27-O28</f>
        <v>44068</v>
      </c>
      <c r="P29" s="6">
        <f t="shared" si="17"/>
        <v>54072</v>
      </c>
      <c r="Q29" s="6">
        <f t="shared" si="17"/>
        <v>48440.719999999987</v>
      </c>
      <c r="R29" s="6">
        <f t="shared" si="17"/>
        <v>65128.863999999972</v>
      </c>
      <c r="S29" s="6">
        <f t="shared" si="17"/>
        <v>85854.636799999949</v>
      </c>
      <c r="T29" s="6">
        <f t="shared" si="17"/>
        <v>111495.56415999991</v>
      </c>
      <c r="U29" s="6">
        <f t="shared" si="17"/>
        <v>143111.67699199988</v>
      </c>
      <c r="V29" s="6">
        <f t="shared" ref="V29" si="18">V27-V28</f>
        <v>181982.71239039986</v>
      </c>
      <c r="W29" s="6">
        <f>V29*(1+$Y$20)</f>
        <v>183802.53951430385</v>
      </c>
      <c r="X29" s="6">
        <f>W29*(1+$Y$20)</f>
        <v>185640.5649094469</v>
      </c>
      <c r="Y29" s="6">
        <f>X29*(1+$Y$20)</f>
        <v>187496.97055854136</v>
      </c>
      <c r="Z29" s="6">
        <f>Y29*(1+$Y$20)</f>
        <v>189371.94026412678</v>
      </c>
      <c r="AA29" s="6">
        <f>Z29*(1+$Y$20)</f>
        <v>191265.65966676804</v>
      </c>
      <c r="AB29" s="6">
        <f>AA29*(1+$Y$20)</f>
        <v>193178.31626343573</v>
      </c>
      <c r="AC29" s="6">
        <f>AB29*(1+$Y$20)</f>
        <v>195110.09942607008</v>
      </c>
      <c r="AD29" s="6">
        <f>AC29*(1+$Y$20)</f>
        <v>197061.20042033077</v>
      </c>
      <c r="AE29" s="6">
        <f>AD29*(1+$Y$20)</f>
        <v>199031.81242453409</v>
      </c>
      <c r="AF29" s="6">
        <f>AE29*(1+$Y$20)</f>
        <v>201022.13054877942</v>
      </c>
      <c r="AG29" s="6">
        <f>AF29*(1+$Y$20)</f>
        <v>203032.35185426721</v>
      </c>
      <c r="AH29" s="6">
        <f>AG29*(1+$Y$20)</f>
        <v>205062.67537280987</v>
      </c>
      <c r="AI29" s="6">
        <f>AH29*(1+$Y$20)</f>
        <v>207113.30212653798</v>
      </c>
      <c r="AJ29" s="6">
        <f>AI29*(1+$Y$20)</f>
        <v>209184.43514780336</v>
      </c>
      <c r="AK29" s="6">
        <f>AJ29*(1+$Y$20)</f>
        <v>211276.2794992814</v>
      </c>
      <c r="AL29" s="6">
        <f>AK29*(1+$Y$20)</f>
        <v>213389.04229427423</v>
      </c>
      <c r="AM29" s="6">
        <f>AL29*(1+$Y$20)</f>
        <v>215522.93271721699</v>
      </c>
      <c r="AN29" s="6">
        <f>AM29*(1+$Y$20)</f>
        <v>217678.16204438914</v>
      </c>
      <c r="AO29" s="6">
        <f>AN29*(1+$Y$20)</f>
        <v>219854.94366483303</v>
      </c>
      <c r="AP29" s="6">
        <f>AO29*(1+$Y$20)</f>
        <v>222053.49310148135</v>
      </c>
      <c r="AQ29" s="6">
        <f>AP29*(1+$Y$20)</f>
        <v>224274.02803249616</v>
      </c>
      <c r="AR29" s="6">
        <f>AQ29*(1+$Y$20)</f>
        <v>226516.76831282114</v>
      </c>
      <c r="AS29" s="6">
        <f>AR29*(1+$Y$20)</f>
        <v>228781.93599594934</v>
      </c>
      <c r="AT29" s="6">
        <f>AS29*(1+$Y$20)</f>
        <v>231069.75535590883</v>
      </c>
      <c r="AU29" s="6">
        <f>AT29*(1+$Y$20)</f>
        <v>233380.45290946792</v>
      </c>
      <c r="AV29" s="6">
        <f>AU29*(1+$Y$20)</f>
        <v>235714.25743856261</v>
      </c>
      <c r="AW29" s="6">
        <f>AV29*(1+$Y$20)</f>
        <v>238071.40001294823</v>
      </c>
      <c r="AX29" s="6">
        <f>AW29*(1+$Y$20)</f>
        <v>240452.11401307772</v>
      </c>
      <c r="AY29" s="6">
        <f>AX29*(1+$Y$20)</f>
        <v>242856.63515320851</v>
      </c>
      <c r="AZ29" s="6">
        <f>AY29*(1+$Y$20)</f>
        <v>245285.2015047406</v>
      </c>
      <c r="BA29" s="6">
        <f>AZ29*(1+$Y$20)</f>
        <v>247738.05351978802</v>
      </c>
      <c r="BB29" s="6">
        <f>BA29*(1+$Y$20)</f>
        <v>250215.4340549859</v>
      </c>
      <c r="BC29" s="6">
        <f>BB29*(1+$Y$20)</f>
        <v>252717.58839553577</v>
      </c>
      <c r="BD29" s="6">
        <f>BC29*(1+$Y$20)</f>
        <v>255244.76427949112</v>
      </c>
      <c r="BE29" s="6">
        <f>BD29*(1+$Y$20)</f>
        <v>257797.21192228605</v>
      </c>
      <c r="BF29" s="6">
        <f>BE29*(1+$Y$20)</f>
        <v>260375.18404150891</v>
      </c>
      <c r="BG29" s="6">
        <f>BF29*(1+$Y$20)</f>
        <v>262978.935881924</v>
      </c>
      <c r="BH29" s="6">
        <f>BG29*(1+$Y$20)</f>
        <v>265608.72524074325</v>
      </c>
      <c r="BI29" s="6">
        <f>BH29*(1+$Y$20)</f>
        <v>268264.8124931507</v>
      </c>
      <c r="BJ29" s="6">
        <f>BI29*(1+$Y$20)</f>
        <v>270947.4606180822</v>
      </c>
      <c r="BK29" s="6">
        <f>BJ29*(1+$Y$20)</f>
        <v>273656.935224263</v>
      </c>
      <c r="BL29" s="6">
        <f>BK29*(1+$Y$20)</f>
        <v>276393.50457650563</v>
      </c>
      <c r="BM29" s="6">
        <f>BL29*(1+$Y$20)</f>
        <v>279157.4396222707</v>
      </c>
      <c r="BN29" s="6">
        <f>BM29*(1+$Y$20)</f>
        <v>281949.01401849341</v>
      </c>
      <c r="BO29" s="6">
        <f>BN29*(1+$Y$20)</f>
        <v>284768.50415867835</v>
      </c>
      <c r="BP29" s="6">
        <f>BO29*(1+$Y$20)</f>
        <v>287616.18920026516</v>
      </c>
      <c r="BQ29" s="6">
        <f>BP29*(1+$Y$20)</f>
        <v>290492.35109226784</v>
      </c>
      <c r="BR29" s="6">
        <f>BQ29*(1+$Y$20)</f>
        <v>293397.27460319054</v>
      </c>
      <c r="BS29" s="6">
        <f>BR29*(1+$Y$20)</f>
        <v>296331.24734922242</v>
      </c>
      <c r="BT29" s="6">
        <f>BS29*(1+$Y$20)</f>
        <v>299294.55982271465</v>
      </c>
      <c r="BU29" s="6">
        <f>BT29*(1+$Y$20)</f>
        <v>302287.5054209418</v>
      </c>
      <c r="BV29" s="6">
        <f>BU29*(1+$Y$20)</f>
        <v>305310.38047515124</v>
      </c>
      <c r="BW29" s="6">
        <f>BV29*(1+$Y$20)</f>
        <v>308363.48427990277</v>
      </c>
      <c r="BX29" s="6">
        <f>BW29*(1+$Y$20)</f>
        <v>311447.11912270181</v>
      </c>
      <c r="BY29" s="6">
        <f>BX29*(1+$Y$20)</f>
        <v>314561.59031392884</v>
      </c>
      <c r="BZ29" s="6">
        <f>BY29*(1+$Y$20)</f>
        <v>317707.20621706813</v>
      </c>
      <c r="CA29" s="6">
        <f>BZ29*(1+$Y$20)</f>
        <v>320884.27827923879</v>
      </c>
      <c r="CB29" s="6">
        <f>CA29*(1+$Y$20)</f>
        <v>324093.12106203119</v>
      </c>
      <c r="CC29" s="6">
        <f>CB29*(1+$Y$20)</f>
        <v>327334.05227265152</v>
      </c>
      <c r="CD29" s="6">
        <f>CC29*(1+$Y$20)</f>
        <v>330607.39279537805</v>
      </c>
      <c r="CE29" s="6">
        <f>CD29*(1+$Y$20)</f>
        <v>333913.46672333183</v>
      </c>
      <c r="CF29" s="6">
        <f>CE29*(1+$Y$20)</f>
        <v>337252.60139056516</v>
      </c>
      <c r="CG29" s="6">
        <f>CF29*(1+$Y$20)</f>
        <v>340625.12740447081</v>
      </c>
      <c r="CH29" s="6">
        <f>CG29*(1+$Y$20)</f>
        <v>344031.3786785155</v>
      </c>
      <c r="CI29" s="6">
        <f>CH29*(1+$Y$20)</f>
        <v>347471.69246530067</v>
      </c>
      <c r="CJ29" s="6">
        <f>CI29*(1+$Y$20)</f>
        <v>350946.40938995365</v>
      </c>
      <c r="CK29" s="6">
        <f>CJ29*(1+$Y$20)</f>
        <v>354455.87348385318</v>
      </c>
      <c r="CL29" s="6">
        <f>CK29*(1+$Y$20)</f>
        <v>358000.43221869174</v>
      </c>
      <c r="CM29" s="6">
        <f>CL29*(1+$Y$20)</f>
        <v>361580.43654087867</v>
      </c>
      <c r="CN29" s="6">
        <f>CM29*(1+$Y$20)</f>
        <v>365196.24090628745</v>
      </c>
      <c r="CO29" s="6">
        <f>CN29*(1+$Y$20)</f>
        <v>368848.20331535034</v>
      </c>
      <c r="CP29" s="6">
        <f>CO29*(1+$Y$20)</f>
        <v>372536.68534850387</v>
      </c>
      <c r="CQ29" s="6">
        <f>CP29*(1+$Y$20)</f>
        <v>376262.05220198893</v>
      </c>
      <c r="CR29" s="6">
        <f>CQ29*(1+$Y$20)</f>
        <v>380024.67272400885</v>
      </c>
      <c r="CS29" s="6">
        <f>CR29*(1+$Y$20)</f>
        <v>383824.91945124895</v>
      </c>
      <c r="CT29" s="6">
        <f>CS29*(1+$Y$20)</f>
        <v>387663.16864576144</v>
      </c>
      <c r="CU29" s="6">
        <f>CT29*(1+$Y$20)</f>
        <v>391539.80033221905</v>
      </c>
      <c r="CV29" s="6">
        <f>CU29*(1+$Y$20)</f>
        <v>395455.19833554124</v>
      </c>
      <c r="CW29" s="6">
        <f>CV29*(1+$Y$20)</f>
        <v>399409.75031889667</v>
      </c>
      <c r="CX29" s="6">
        <f>CW29*(1+$Y$20)</f>
        <v>403403.84782208566</v>
      </c>
      <c r="CY29" s="6">
        <f>CX29*(1+$Y$20)</f>
        <v>407437.88630030653</v>
      </c>
      <c r="CZ29" s="6">
        <f>CY29*(1+$Y$20)</f>
        <v>411512.26516330958</v>
      </c>
      <c r="DA29" s="6">
        <f>CZ29*(1+$Y$20)</f>
        <v>415627.38781494269</v>
      </c>
      <c r="DB29" s="6">
        <f>DA29*(1+$Y$20)</f>
        <v>419783.66169309214</v>
      </c>
      <c r="DC29" s="6">
        <f>DB29*(1+$Y$20)</f>
        <v>423981.49831002305</v>
      </c>
      <c r="DD29" s="6">
        <f>DC29*(1+$Y$20)</f>
        <v>428221.31329312327</v>
      </c>
      <c r="DE29" s="6">
        <f>DD29*(1+$Y$20)</f>
        <v>432503.52642605448</v>
      </c>
      <c r="DF29" s="6">
        <f>DE29*(1+$Y$20)</f>
        <v>436828.56169031502</v>
      </c>
      <c r="DG29" s="6">
        <f>DF29*(1+$Y$20)</f>
        <v>441196.84730721818</v>
      </c>
      <c r="DH29" s="6">
        <f>DG29*(1+$Y$20)</f>
        <v>445608.81578029034</v>
      </c>
      <c r="DI29" s="6">
        <f>DH29*(1+$Y$20)</f>
        <v>450064.90393809322</v>
      </c>
      <c r="DJ29" s="6">
        <f>DI29*(1+$Y$20)</f>
        <v>454565.55297747417</v>
      </c>
      <c r="DK29" s="6">
        <f>DJ29*(1+$Y$20)</f>
        <v>459111.2085072489</v>
      </c>
      <c r="DL29" s="6">
        <f>DK29*(1+$Y$20)</f>
        <v>463702.3205923214</v>
      </c>
    </row>
    <row r="30" spans="2:116" x14ac:dyDescent="0.2">
      <c r="N30" s="7"/>
      <c r="O30" s="7"/>
      <c r="P30" s="7"/>
      <c r="Q30" s="7"/>
      <c r="R30" s="7"/>
      <c r="S30" s="7"/>
      <c r="T30" s="7"/>
      <c r="U30" s="7"/>
      <c r="V30" s="7"/>
      <c r="W30" s="3"/>
      <c r="X30" s="3"/>
      <c r="Y30" s="3"/>
      <c r="Z30" s="3"/>
      <c r="AA30" s="3"/>
      <c r="AB30" s="3"/>
      <c r="AC30" s="3"/>
    </row>
    <row r="31" spans="2:116" x14ac:dyDescent="0.2">
      <c r="B31" s="4" t="s">
        <v>27</v>
      </c>
      <c r="P31" s="4">
        <f>P33-P35</f>
        <v>36286</v>
      </c>
      <c r="Q31" s="4">
        <f>P31+Q17</f>
        <v>106109.41263999998</v>
      </c>
      <c r="R31" s="4">
        <f>Q31+R17</f>
        <v>192396.15959516793</v>
      </c>
      <c r="S31" s="4">
        <f>R31+S17</f>
        <v>298740.75981655199</v>
      </c>
      <c r="T31" s="4">
        <f>S31+T17</f>
        <v>429507.52786075068</v>
      </c>
      <c r="U31" s="4">
        <f>T31+U17</f>
        <v>589993.45377725828</v>
      </c>
      <c r="V31" s="4">
        <f>U31+V17</f>
        <v>786625.22844180558</v>
      </c>
    </row>
    <row r="33" spans="2:16" x14ac:dyDescent="0.2">
      <c r="B33" s="4" t="s">
        <v>3</v>
      </c>
      <c r="P33" s="4">
        <f>43889+33926</f>
        <v>77815</v>
      </c>
    </row>
    <row r="35" spans="2:16" x14ac:dyDescent="0.2">
      <c r="B35" s="4" t="s">
        <v>4</v>
      </c>
      <c r="P35" s="4">
        <f>28826+9987+2716</f>
        <v>41529</v>
      </c>
    </row>
  </sheetData>
  <hyperlinks>
    <hyperlink ref="A1" location="Sheet1!A1" display="Main" xr:uid="{A578C41A-8349-4AEA-AD20-5DEAADC808AE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2025-04-28T19:23:20Z</dcterms:created>
  <dcterms:modified xsi:type="dcterms:W3CDTF">2025-08-18T06:43:35Z</dcterms:modified>
</cp:coreProperties>
</file>