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D6677170-D737-4994-AB19-60022CF8EB7A}" xr6:coauthVersionLast="47" xr6:coauthVersionMax="47" xr10:uidLastSave="{00000000-0000-0000-0000-000000000000}"/>
  <bookViews>
    <workbookView xWindow="-105" yWindow="0" windowWidth="14610" windowHeight="15585" activeTab="1" xr2:uid="{B5255683-9904-4B96-B116-504FB2085B5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2" l="1"/>
  <c r="I9" i="2"/>
  <c r="J9" i="2" s="1"/>
  <c r="R9" i="2"/>
  <c r="S9" i="2" s="1"/>
  <c r="T9" i="2" s="1"/>
  <c r="Q71" i="2"/>
  <c r="R71" i="2" s="1"/>
  <c r="S71" i="2" s="1"/>
  <c r="T71" i="2" s="1"/>
  <c r="U71" i="2" s="1"/>
  <c r="D5" i="1"/>
  <c r="O83" i="2"/>
  <c r="P83" i="2"/>
  <c r="N83" i="2"/>
  <c r="O91" i="2"/>
  <c r="P91" i="2"/>
  <c r="N91" i="2"/>
  <c r="P62" i="2"/>
  <c r="O62" i="2"/>
  <c r="O37" i="2"/>
  <c r="P36" i="2"/>
  <c r="O36" i="2"/>
  <c r="O35" i="2" s="1"/>
  <c r="P49" i="2"/>
  <c r="O49" i="2"/>
  <c r="R32" i="2"/>
  <c r="S32" i="2" s="1"/>
  <c r="T32" i="2" s="1"/>
  <c r="U32" i="2" s="1"/>
  <c r="P37" i="2"/>
  <c r="D8" i="1"/>
  <c r="P20" i="2"/>
  <c r="O20" i="2"/>
  <c r="N20" i="2"/>
  <c r="O18" i="2"/>
  <c r="P18" i="2"/>
  <c r="N18" i="2"/>
  <c r="O13" i="2"/>
  <c r="P13" i="2"/>
  <c r="N13" i="2"/>
  <c r="O9" i="2"/>
  <c r="P9" i="2"/>
  <c r="N9" i="2"/>
  <c r="N33" i="2" s="1"/>
  <c r="L35" i="2"/>
  <c r="M35" i="2"/>
  <c r="N35" i="2"/>
  <c r="G37" i="2"/>
  <c r="G36" i="2"/>
  <c r="M1" i="2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D6" i="1"/>
  <c r="D4" i="1"/>
  <c r="D7" i="1" s="1"/>
  <c r="O92" i="2" l="1"/>
  <c r="P92" i="2"/>
  <c r="O33" i="2"/>
  <c r="P63" i="2"/>
  <c r="P64" i="2" s="1"/>
  <c r="P33" i="2"/>
  <c r="O63" i="2"/>
  <c r="O64" i="2" s="1"/>
  <c r="N92" i="2"/>
  <c r="P66" i="2"/>
  <c r="O66" i="2"/>
  <c r="N14" i="2"/>
  <c r="N30" i="2" s="1"/>
  <c r="G35" i="2"/>
  <c r="P27" i="2"/>
  <c r="P35" i="2"/>
  <c r="Q20" i="2" s="1"/>
  <c r="O27" i="2"/>
  <c r="Q27" i="2"/>
  <c r="Q17" i="2" s="1"/>
  <c r="N19" i="2"/>
  <c r="Q13" i="2"/>
  <c r="Q14" i="2" s="1"/>
  <c r="R27" i="2"/>
  <c r="R13" i="2"/>
  <c r="R14" i="2" s="1"/>
  <c r="P14" i="2"/>
  <c r="P30" i="2" s="1"/>
  <c r="O14" i="2"/>
  <c r="O30" i="2" s="1"/>
  <c r="Q15" i="2" l="1"/>
  <c r="Q16" i="2"/>
  <c r="R16" i="2" s="1"/>
  <c r="Q77" i="2"/>
  <c r="R77" i="2" s="1"/>
  <c r="Q73" i="2"/>
  <c r="R73" i="2" s="1"/>
  <c r="Q75" i="2"/>
  <c r="R75" i="2" s="1"/>
  <c r="Q74" i="2"/>
  <c r="R74" i="2" s="1"/>
  <c r="Q70" i="2"/>
  <c r="R70" i="2" s="1"/>
  <c r="Q82" i="2"/>
  <c r="R82" i="2" s="1"/>
  <c r="Q81" i="2"/>
  <c r="R81" i="2" s="1"/>
  <c r="Q80" i="2"/>
  <c r="R80" i="2" s="1"/>
  <c r="Q79" i="2"/>
  <c r="R79" i="2" s="1"/>
  <c r="Q78" i="2"/>
  <c r="R78" i="2" s="1"/>
  <c r="Q76" i="2"/>
  <c r="R76" i="2" s="1"/>
  <c r="Q72" i="2"/>
  <c r="R72" i="2" s="1"/>
  <c r="N21" i="2"/>
  <c r="N31" i="2"/>
  <c r="R91" i="2"/>
  <c r="R15" i="2"/>
  <c r="R17" i="2"/>
  <c r="O19" i="2"/>
  <c r="Q18" i="2"/>
  <c r="P19" i="2"/>
  <c r="Q19" i="2" l="1"/>
  <c r="Q33" i="2"/>
  <c r="O21" i="2"/>
  <c r="O23" i="2" s="1"/>
  <c r="O31" i="2"/>
  <c r="N28" i="2"/>
  <c r="N23" i="2"/>
  <c r="P21" i="2"/>
  <c r="P28" i="2" s="1"/>
  <c r="P31" i="2"/>
  <c r="O28" i="2"/>
  <c r="R18" i="2"/>
  <c r="S13" i="2"/>
  <c r="S14" i="2" s="1"/>
  <c r="S27" i="2"/>
  <c r="S70" i="2" s="1"/>
  <c r="P23" i="2" l="1"/>
  <c r="P25" i="2"/>
  <c r="P68" i="2"/>
  <c r="P32" i="2" s="1"/>
  <c r="N25" i="2"/>
  <c r="N68" i="2"/>
  <c r="N32" i="2" s="1"/>
  <c r="O25" i="2"/>
  <c r="O68" i="2"/>
  <c r="O32" i="2" s="1"/>
  <c r="Q21" i="2"/>
  <c r="Q22" i="2" s="1"/>
  <c r="Q23" i="2" s="1"/>
  <c r="Q31" i="2"/>
  <c r="S78" i="2"/>
  <c r="S91" i="2"/>
  <c r="S73" i="2"/>
  <c r="S75" i="2"/>
  <c r="T75" i="2" s="1"/>
  <c r="S76" i="2"/>
  <c r="T76" i="2" s="1"/>
  <c r="S81" i="2"/>
  <c r="S74" i="2"/>
  <c r="T74" i="2" s="1"/>
  <c r="S72" i="2"/>
  <c r="S82" i="2"/>
  <c r="R19" i="2"/>
  <c r="R31" i="2" s="1"/>
  <c r="R33" i="2"/>
  <c r="S79" i="2"/>
  <c r="S80" i="2"/>
  <c r="S77" i="2"/>
  <c r="S16" i="2"/>
  <c r="S17" i="2"/>
  <c r="S15" i="2"/>
  <c r="T27" i="2"/>
  <c r="T70" i="2" s="1"/>
  <c r="T13" i="2"/>
  <c r="T14" i="2" s="1"/>
  <c r="T73" i="2" l="1"/>
  <c r="T78" i="2"/>
  <c r="Q68" i="2"/>
  <c r="Q83" i="2" s="1"/>
  <c r="Q92" i="2" s="1"/>
  <c r="Q25" i="2"/>
  <c r="Q35" i="2"/>
  <c r="R20" i="2" s="1"/>
  <c r="T72" i="2"/>
  <c r="T82" i="2"/>
  <c r="T77" i="2"/>
  <c r="T80" i="2"/>
  <c r="T79" i="2"/>
  <c r="T91" i="2"/>
  <c r="T81" i="2"/>
  <c r="R21" i="2"/>
  <c r="R22" i="2" s="1"/>
  <c r="R23" i="2" s="1"/>
  <c r="R68" i="2" s="1"/>
  <c r="R83" i="2" s="1"/>
  <c r="R92" i="2" s="1"/>
  <c r="T15" i="2"/>
  <c r="T17" i="2"/>
  <c r="U27" i="2"/>
  <c r="U70" i="2" s="1"/>
  <c r="U13" i="2"/>
  <c r="U14" i="2" s="1"/>
  <c r="S18" i="2"/>
  <c r="T16" i="2"/>
  <c r="U91" i="2" l="1"/>
  <c r="U74" i="2"/>
  <c r="U81" i="2"/>
  <c r="U73" i="2"/>
  <c r="U75" i="2"/>
  <c r="U76" i="2"/>
  <c r="U79" i="2"/>
  <c r="U16" i="2"/>
  <c r="S19" i="2"/>
  <c r="S33" i="2"/>
  <c r="U78" i="2"/>
  <c r="R25" i="2"/>
  <c r="U82" i="2"/>
  <c r="U80" i="2"/>
  <c r="R35" i="2"/>
  <c r="S20" i="2" s="1"/>
  <c r="U77" i="2"/>
  <c r="U72" i="2"/>
  <c r="U15" i="2"/>
  <c r="U17" i="2"/>
  <c r="T18" i="2"/>
  <c r="U18" i="2" l="1"/>
  <c r="U19" i="2" s="1"/>
  <c r="U31" i="2" s="1"/>
  <c r="T19" i="2"/>
  <c r="T31" i="2" s="1"/>
  <c r="T33" i="2"/>
  <c r="S21" i="2"/>
  <c r="S22" i="2" s="1"/>
  <c r="S23" i="2" s="1"/>
  <c r="S31" i="2"/>
  <c r="U33" i="2" l="1"/>
  <c r="S68" i="2"/>
  <c r="S83" i="2" s="1"/>
  <c r="S92" i="2" s="1"/>
  <c r="S25" i="2"/>
  <c r="S35" i="2"/>
  <c r="T20" i="2" s="1"/>
  <c r="T21" i="2" s="1"/>
  <c r="T22" i="2" s="1"/>
  <c r="T23" i="2" s="1"/>
  <c r="T68" i="2" s="1"/>
  <c r="T83" i="2" s="1"/>
  <c r="T92" i="2" s="1"/>
  <c r="T35" i="2" l="1"/>
  <c r="T25" i="2"/>
  <c r="U20" i="2"/>
  <c r="U21" i="2" s="1"/>
  <c r="U22" i="2" s="1"/>
  <c r="U23" i="2" s="1"/>
  <c r="U68" i="2" s="1"/>
  <c r="U83" i="2" s="1"/>
  <c r="U92" i="2" s="1"/>
  <c r="V92" i="2" s="1"/>
  <c r="W92" i="2" s="1"/>
  <c r="X92" i="2" s="1"/>
  <c r="Y92" i="2" s="1"/>
  <c r="Z92" i="2" s="1"/>
  <c r="U25" i="2" l="1"/>
  <c r="U35" i="2"/>
  <c r="AA92" i="2" l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BP92" i="2" s="1"/>
  <c r="BQ92" i="2" s="1"/>
  <c r="BR92" i="2" s="1"/>
  <c r="BS92" i="2" s="1"/>
  <c r="BT92" i="2" s="1"/>
  <c r="BU92" i="2" s="1"/>
  <c r="BV92" i="2" s="1"/>
  <c r="BW92" i="2" s="1"/>
  <c r="BX92" i="2" s="1"/>
  <c r="BY92" i="2" s="1"/>
  <c r="BZ92" i="2" s="1"/>
  <c r="CA92" i="2" s="1"/>
  <c r="CB92" i="2" s="1"/>
  <c r="CC92" i="2" s="1"/>
  <c r="CD92" i="2" s="1"/>
  <c r="CE92" i="2" s="1"/>
  <c r="CF92" i="2" s="1"/>
  <c r="CG92" i="2" s="1"/>
  <c r="CH92" i="2" s="1"/>
  <c r="CI92" i="2" s="1"/>
  <c r="CJ92" i="2" s="1"/>
  <c r="CK92" i="2" s="1"/>
  <c r="CL92" i="2" s="1"/>
  <c r="CM92" i="2" s="1"/>
  <c r="CN92" i="2" s="1"/>
  <c r="CO92" i="2" s="1"/>
  <c r="CP92" i="2" s="1"/>
  <c r="CQ92" i="2" s="1"/>
  <c r="CR92" i="2" s="1"/>
  <c r="CS92" i="2" s="1"/>
  <c r="CT92" i="2" s="1"/>
  <c r="CU92" i="2" s="1"/>
  <c r="CV92" i="2" s="1"/>
  <c r="CW92" i="2" s="1"/>
  <c r="CX92" i="2" s="1"/>
  <c r="CY92" i="2" s="1"/>
  <c r="CZ92" i="2" s="1"/>
  <c r="DA92" i="2" s="1"/>
  <c r="DB92" i="2" s="1"/>
  <c r="DC92" i="2" s="1"/>
  <c r="DD92" i="2" s="1"/>
  <c r="DE92" i="2" s="1"/>
  <c r="DF92" i="2" s="1"/>
  <c r="DG92" i="2" s="1"/>
  <c r="DH92" i="2" s="1"/>
  <c r="DI92" i="2" s="1"/>
  <c r="DJ92" i="2" s="1"/>
  <c r="X88" i="2" s="1"/>
  <c r="X89" i="2" s="1"/>
  <c r="X90" i="2" s="1"/>
</calcChain>
</file>

<file path=xl/sharedStrings.xml><?xml version="1.0" encoding="utf-8"?>
<sst xmlns="http://schemas.openxmlformats.org/spreadsheetml/2006/main" count="108" uniqueCount="93">
  <si>
    <t>ADBE</t>
  </si>
  <si>
    <t>Price</t>
  </si>
  <si>
    <t>Shares</t>
  </si>
  <si>
    <t>MC</t>
  </si>
  <si>
    <t>Cash</t>
  </si>
  <si>
    <t>Debt</t>
  </si>
  <si>
    <t>EV</t>
  </si>
  <si>
    <t>Subscription</t>
  </si>
  <si>
    <t>Product</t>
  </si>
  <si>
    <t>Services</t>
  </si>
  <si>
    <t>Revenue</t>
  </si>
  <si>
    <t>Subscription COGS</t>
  </si>
  <si>
    <t>Product COGS</t>
  </si>
  <si>
    <t>Services COGS</t>
  </si>
  <si>
    <t>COGS</t>
  </si>
  <si>
    <t>Gross Profit</t>
  </si>
  <si>
    <t>R&amp;D</t>
  </si>
  <si>
    <t>S&amp;M</t>
  </si>
  <si>
    <t>G&amp;A</t>
  </si>
  <si>
    <t>OPEX</t>
  </si>
  <si>
    <t>Operating Income</t>
  </si>
  <si>
    <t>Interest</t>
  </si>
  <si>
    <t>Pretax Income</t>
  </si>
  <si>
    <t>Tax</t>
  </si>
  <si>
    <t>Net Income</t>
  </si>
  <si>
    <t>EPS</t>
  </si>
  <si>
    <t>Tax Rate</t>
  </si>
  <si>
    <t>Gross Margin</t>
  </si>
  <si>
    <t>CFFO</t>
  </si>
  <si>
    <t>FCF</t>
  </si>
  <si>
    <t>Net Cash</t>
  </si>
  <si>
    <t>Q125</t>
  </si>
  <si>
    <t>ROIC</t>
  </si>
  <si>
    <t>Maturity</t>
  </si>
  <si>
    <t>Discount</t>
  </si>
  <si>
    <t>NPV</t>
  </si>
  <si>
    <t>Diff</t>
  </si>
  <si>
    <t>FCF Margin</t>
  </si>
  <si>
    <t>Revenue y/y</t>
  </si>
  <si>
    <t>OPEX Margin</t>
  </si>
  <si>
    <t>Operating Margin</t>
  </si>
  <si>
    <t>Short-term Investments</t>
  </si>
  <si>
    <t>AR</t>
  </si>
  <si>
    <t>Prepaid Expenses</t>
  </si>
  <si>
    <t>PP&amp;E</t>
  </si>
  <si>
    <t>Operating Lease Assets</t>
  </si>
  <si>
    <t>GW</t>
  </si>
  <si>
    <t>Other Intangibles</t>
  </si>
  <si>
    <t>DIT</t>
  </si>
  <si>
    <t>Other Assets</t>
  </si>
  <si>
    <t>Assets</t>
  </si>
  <si>
    <t>Trade Payables</t>
  </si>
  <si>
    <t>Accrued Expenses</t>
  </si>
  <si>
    <t>Deferred Revenue</t>
  </si>
  <si>
    <t>ITP</t>
  </si>
  <si>
    <t>Operating Lease Liabilities</t>
  </si>
  <si>
    <t>Cur. Debt</t>
  </si>
  <si>
    <t>LT Debt</t>
  </si>
  <si>
    <t>LT Deferred Revenue</t>
  </si>
  <si>
    <t>Other Liabilities</t>
  </si>
  <si>
    <t>SE</t>
  </si>
  <si>
    <t>Liabilities</t>
  </si>
  <si>
    <t>L+SE</t>
  </si>
  <si>
    <t>Main</t>
  </si>
  <si>
    <t>Q124</t>
  </si>
  <si>
    <t>Q224</t>
  </si>
  <si>
    <t>Q324</t>
  </si>
  <si>
    <t>Q425</t>
  </si>
  <si>
    <t>Q225</t>
  </si>
  <si>
    <t>Q325</t>
  </si>
  <si>
    <t>LT ITP</t>
  </si>
  <si>
    <t>DSO</t>
  </si>
  <si>
    <t>Model NI</t>
  </si>
  <si>
    <t>Reported NI</t>
  </si>
  <si>
    <t>D&amp;A</t>
  </si>
  <si>
    <t>Stock-based Comp</t>
  </si>
  <si>
    <t>Reduction of OL Assets</t>
  </si>
  <si>
    <t>Lease Asset Impairments</t>
  </si>
  <si>
    <t>Unrealized Losses on Investments</t>
  </si>
  <si>
    <t>Other Non-cash</t>
  </si>
  <si>
    <t>AP</t>
  </si>
  <si>
    <t>DR</t>
  </si>
  <si>
    <t>Maturity of ST Investments</t>
  </si>
  <si>
    <t>Purchase of ST Investments</t>
  </si>
  <si>
    <t>Sale of ST Investments</t>
  </si>
  <si>
    <t>Acquisitions</t>
  </si>
  <si>
    <t>Purchase of PP&amp;E</t>
  </si>
  <si>
    <t>Purchase LT Investments</t>
  </si>
  <si>
    <t>Sale of LT Investments</t>
  </si>
  <si>
    <t>CAPEX</t>
  </si>
  <si>
    <t>Digital Media</t>
  </si>
  <si>
    <t>Digital Experience</t>
  </si>
  <si>
    <t>DE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</si>
</sst>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9" fontId="2" fillId="0" borderId="0" xfId="0" applyNumberFormat="1" applyFont="1"/>
    <xf numFmtId="0" fontId="2" fillId="0" borderId="0" xfId="0" applyFont="1"/>
    <xf numFmtId="0" fontId="1" fillId="0" borderId="0" xfId="0" applyFont="1"/>
    <xf numFmtId="164" fontId="2" fillId="0" borderId="0" xfId="0" applyNumberFormat="1" applyFont="1"/>
    <xf numFmtId="3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0</xdr:row>
      <xdr:rowOff>28575</xdr:rowOff>
    </xdr:from>
    <xdr:to>
      <xdr:col>16</xdr:col>
      <xdr:colOff>19050</xdr:colOff>
      <xdr:row>98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27E734B-78F6-25CF-AF3A-9164F515D047}"/>
            </a:ext>
          </a:extLst>
        </xdr:cNvPr>
        <xdr:cNvCxnSpPr/>
      </xdr:nvCxnSpPr>
      <xdr:spPr>
        <a:xfrm>
          <a:off x="10182225" y="28575"/>
          <a:ext cx="9525" cy="1794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0</xdr:row>
      <xdr:rowOff>19050</xdr:rowOff>
    </xdr:from>
    <xdr:to>
      <xdr:col>7</xdr:col>
      <xdr:colOff>19050</xdr:colOff>
      <xdr:row>70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F5E25C-17F0-4F8D-1774-386610D8C3FE}"/>
            </a:ext>
          </a:extLst>
        </xdr:cNvPr>
        <xdr:cNvCxnSpPr/>
      </xdr:nvCxnSpPr>
      <xdr:spPr>
        <a:xfrm flipH="1">
          <a:off x="4695825" y="19050"/>
          <a:ext cx="9525" cy="126396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A162-EAE9-4CC5-AE4B-8B686CFC5399}">
  <dimension ref="A1:E8"/>
  <sheetViews>
    <sheetView zoomScale="250" zoomScaleNormal="250" workbookViewId="0">
      <selection activeCell="B7" sqref="B7"/>
    </sheetView>
  </sheetViews>
  <sheetFormatPr defaultRowHeight="14.25" x14ac:dyDescent="0.2"/>
  <cols>
    <col min="1" max="16384" width="9.140625" style="9"/>
  </cols>
  <sheetData>
    <row r="1" spans="1:5" ht="15" x14ac:dyDescent="0.25">
      <c r="A1" s="8" t="s">
        <v>0</v>
      </c>
    </row>
    <row r="2" spans="1:5" x14ac:dyDescent="0.2">
      <c r="C2" s="9" t="s">
        <v>1</v>
      </c>
      <c r="D2" s="1">
        <v>383</v>
      </c>
    </row>
    <row r="3" spans="1:5" x14ac:dyDescent="0.2">
      <c r="C3" s="9" t="s">
        <v>2</v>
      </c>
      <c r="D3" s="1">
        <v>426.2</v>
      </c>
      <c r="E3" s="9" t="s">
        <v>31</v>
      </c>
    </row>
    <row r="4" spans="1:5" x14ac:dyDescent="0.2">
      <c r="C4" s="9" t="s">
        <v>3</v>
      </c>
      <c r="D4" s="1">
        <f>D3*D2</f>
        <v>163234.6</v>
      </c>
    </row>
    <row r="5" spans="1:5" x14ac:dyDescent="0.2">
      <c r="C5" s="9" t="s">
        <v>4</v>
      </c>
      <c r="D5" s="1">
        <f>6758+677</f>
        <v>7435</v>
      </c>
      <c r="E5" s="9" t="s">
        <v>31</v>
      </c>
    </row>
    <row r="6" spans="1:5" x14ac:dyDescent="0.2">
      <c r="C6" s="9" t="s">
        <v>5</v>
      </c>
      <c r="D6" s="1">
        <f>6155+143+567+334+498</f>
        <v>7697</v>
      </c>
      <c r="E6" s="9" t="s">
        <v>31</v>
      </c>
    </row>
    <row r="7" spans="1:5" x14ac:dyDescent="0.2">
      <c r="C7" s="9" t="s">
        <v>6</v>
      </c>
      <c r="D7" s="1">
        <f>D4+D6-D5</f>
        <v>163496.6</v>
      </c>
    </row>
    <row r="8" spans="1:5" x14ac:dyDescent="0.2">
      <c r="D8" s="9">
        <f>D2/(1.1*4*model!G25)</f>
        <v>21.025472112428634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5702-5366-4A93-A101-38C235480BE9}">
  <dimension ref="A1:DJ93"/>
  <sheetViews>
    <sheetView tabSelected="1" workbookViewId="0">
      <pane xSplit="2" ySplit="1" topLeftCell="N9" activePane="bottomRight" state="frozen"/>
      <selection pane="topRight" activeCell="B1" sqref="B1"/>
      <selection pane="bottomLeft" activeCell="A2" sqref="A2"/>
      <selection pane="bottomRight" activeCell="U9" sqref="U9"/>
    </sheetView>
  </sheetViews>
  <sheetFormatPr defaultRowHeight="14.25" x14ac:dyDescent="0.2"/>
  <cols>
    <col min="1" max="1" width="5" style="1" customWidth="1"/>
    <col min="2" max="2" width="19.5703125" style="1" customWidth="1"/>
    <col min="3" max="6" width="9.140625" style="9"/>
    <col min="7" max="7" width="9.140625" style="1"/>
    <col min="8" max="8" width="9.5703125" style="9" bestFit="1" customWidth="1"/>
    <col min="9" max="10" width="9.140625" style="9"/>
    <col min="11" max="16" width="9.140625" style="1"/>
    <col min="17" max="17" width="9.5703125" style="1" bestFit="1" customWidth="1"/>
    <col min="18" max="16384" width="9.140625" style="1"/>
  </cols>
  <sheetData>
    <row r="1" spans="1:26" x14ac:dyDescent="0.2">
      <c r="A1" s="11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1" t="s">
        <v>31</v>
      </c>
      <c r="H1" s="9" t="s">
        <v>68</v>
      </c>
      <c r="I1" s="9" t="s">
        <v>69</v>
      </c>
      <c r="J1" s="9" t="s">
        <v>67</v>
      </c>
      <c r="L1" s="2">
        <v>2020</v>
      </c>
      <c r="M1" s="2">
        <f>L1+1</f>
        <v>2021</v>
      </c>
      <c r="N1" s="2">
        <f t="shared" ref="N1:U1" si="0">M1+1</f>
        <v>2022</v>
      </c>
      <c r="O1" s="2">
        <f t="shared" si="0"/>
        <v>2023</v>
      </c>
      <c r="P1" s="2">
        <f t="shared" si="0"/>
        <v>2024</v>
      </c>
      <c r="Q1" s="2">
        <f t="shared" si="0"/>
        <v>2025</v>
      </c>
      <c r="R1" s="2">
        <f t="shared" si="0"/>
        <v>2026</v>
      </c>
      <c r="S1" s="2">
        <f t="shared" si="0"/>
        <v>2027</v>
      </c>
      <c r="T1" s="2">
        <f t="shared" si="0"/>
        <v>2028</v>
      </c>
      <c r="U1" s="2">
        <f t="shared" si="0"/>
        <v>2029</v>
      </c>
      <c r="V1" s="2">
        <f t="shared" ref="V1" si="1">U1+1</f>
        <v>2030</v>
      </c>
      <c r="W1" s="2">
        <f t="shared" ref="W1" si="2">V1+1</f>
        <v>2031</v>
      </c>
      <c r="X1" s="2">
        <f t="shared" ref="X1" si="3">W1+1</f>
        <v>2032</v>
      </c>
      <c r="Y1" s="2">
        <f t="shared" ref="Y1" si="4">X1+1</f>
        <v>2033</v>
      </c>
      <c r="Z1" s="2">
        <f t="shared" ref="Z1" si="5">Y1+1</f>
        <v>2034</v>
      </c>
    </row>
    <row r="2" spans="1:26" x14ac:dyDescent="0.2">
      <c r="A2" s="11"/>
      <c r="B2" s="1" t="s">
        <v>90</v>
      </c>
      <c r="H2" s="1">
        <v>4300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1"/>
      <c r="B3" s="1" t="s">
        <v>91</v>
      </c>
      <c r="H3" s="1">
        <v>1450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1"/>
      <c r="B4" s="1" t="s">
        <v>92</v>
      </c>
      <c r="H4" s="1">
        <v>1320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1"/>
      <c r="H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B6" s="1" t="s">
        <v>7</v>
      </c>
      <c r="H6" s="1"/>
      <c r="I6" s="1"/>
      <c r="J6" s="1"/>
      <c r="N6" s="1">
        <v>16388</v>
      </c>
      <c r="O6" s="1">
        <v>18284</v>
      </c>
      <c r="P6" s="1">
        <v>20521</v>
      </c>
    </row>
    <row r="7" spans="1:26" x14ac:dyDescent="0.2">
      <c r="B7" s="1" t="s">
        <v>8</v>
      </c>
      <c r="N7" s="1">
        <v>532</v>
      </c>
      <c r="O7" s="1">
        <v>460</v>
      </c>
      <c r="P7" s="1">
        <v>386</v>
      </c>
    </row>
    <row r="8" spans="1:26" x14ac:dyDescent="0.2">
      <c r="B8" s="1" t="s">
        <v>9</v>
      </c>
      <c r="H8" s="5"/>
      <c r="N8" s="1">
        <v>686</v>
      </c>
      <c r="O8" s="1">
        <v>665</v>
      </c>
      <c r="P8" s="1">
        <v>598</v>
      </c>
    </row>
    <row r="9" spans="1:26" s="3" customFormat="1" ht="15" x14ac:dyDescent="0.25">
      <c r="B9" s="3" t="s">
        <v>10</v>
      </c>
      <c r="G9" s="1">
        <v>5710</v>
      </c>
      <c r="H9" s="1">
        <v>5800</v>
      </c>
      <c r="I9" s="1">
        <f>H9*1.02</f>
        <v>5916</v>
      </c>
      <c r="J9" s="1">
        <f>I9*1.02</f>
        <v>6034.32</v>
      </c>
      <c r="N9" s="3">
        <f>SUM(N6:N8)</f>
        <v>17606</v>
      </c>
      <c r="O9" s="3">
        <f t="shared" ref="O9:P9" si="6">SUM(O6:O8)</f>
        <v>19409</v>
      </c>
      <c r="P9" s="3">
        <f t="shared" si="6"/>
        <v>21505</v>
      </c>
      <c r="Q9" s="3">
        <v>23400</v>
      </c>
      <c r="R9" s="3">
        <f>Q9*1.11</f>
        <v>25974.000000000004</v>
      </c>
      <c r="S9" s="3">
        <f t="shared" ref="S9:U9" si="7">R9*1.11</f>
        <v>28831.140000000007</v>
      </c>
      <c r="T9" s="3">
        <f t="shared" si="7"/>
        <v>32002.56540000001</v>
      </c>
      <c r="U9" s="3">
        <f t="shared" si="7"/>
        <v>35522.847594000013</v>
      </c>
    </row>
    <row r="10" spans="1:26" x14ac:dyDescent="0.2">
      <c r="B10" s="1" t="s">
        <v>11</v>
      </c>
      <c r="I10" s="1"/>
      <c r="N10" s="1">
        <v>1646</v>
      </c>
      <c r="O10" s="1">
        <v>1822</v>
      </c>
      <c r="P10" s="1">
        <v>1799</v>
      </c>
    </row>
    <row r="11" spans="1:26" x14ac:dyDescent="0.2">
      <c r="B11" s="1" t="s">
        <v>12</v>
      </c>
      <c r="N11" s="1">
        <v>35</v>
      </c>
      <c r="O11" s="1">
        <v>29</v>
      </c>
      <c r="P11" s="1">
        <v>25</v>
      </c>
    </row>
    <row r="12" spans="1:26" x14ac:dyDescent="0.2">
      <c r="B12" s="1" t="s">
        <v>13</v>
      </c>
      <c r="N12" s="1">
        <v>484</v>
      </c>
      <c r="O12" s="1">
        <v>503</v>
      </c>
      <c r="P12" s="1">
        <v>534</v>
      </c>
    </row>
    <row r="13" spans="1:26" x14ac:dyDescent="0.2">
      <c r="B13" s="1" t="s">
        <v>14</v>
      </c>
      <c r="N13" s="1">
        <f>SUM(N10:N12)</f>
        <v>2165</v>
      </c>
      <c r="O13" s="1">
        <f t="shared" ref="O13:P13" si="8">SUM(O10:O12)</f>
        <v>2354</v>
      </c>
      <c r="P13" s="1">
        <f t="shared" si="8"/>
        <v>2358</v>
      </c>
      <c r="Q13" s="1">
        <f>Q9*(1-Q30)</f>
        <v>2456.9999999999995</v>
      </c>
      <c r="R13" s="1">
        <f t="shared" ref="R13:U13" si="9">R9*(1-R30)</f>
        <v>2727.27</v>
      </c>
      <c r="S13" s="1">
        <f t="shared" si="9"/>
        <v>3027.2697000000003</v>
      </c>
      <c r="T13" s="1">
        <f t="shared" si="9"/>
        <v>3360.2693670000003</v>
      </c>
      <c r="U13" s="1">
        <f t="shared" si="9"/>
        <v>3729.8989973700009</v>
      </c>
    </row>
    <row r="14" spans="1:26" x14ac:dyDescent="0.2">
      <c r="B14" s="1" t="s">
        <v>15</v>
      </c>
      <c r="N14" s="1">
        <f>N9-N13</f>
        <v>15441</v>
      </c>
      <c r="O14" s="1">
        <f t="shared" ref="O14:P14" si="10">O9-O13</f>
        <v>17055</v>
      </c>
      <c r="P14" s="1">
        <f t="shared" si="10"/>
        <v>19147</v>
      </c>
      <c r="Q14" s="1">
        <f t="shared" ref="Q14" si="11">Q9-Q13</f>
        <v>20943</v>
      </c>
      <c r="R14" s="1">
        <f t="shared" ref="R14" si="12">R9-R13</f>
        <v>23246.730000000003</v>
      </c>
      <c r="S14" s="1">
        <f t="shared" ref="S14" si="13">S9-S13</f>
        <v>25803.870300000006</v>
      </c>
      <c r="T14" s="1">
        <f t="shared" ref="T14" si="14">T9-T13</f>
        <v>28642.29603300001</v>
      </c>
      <c r="U14" s="1">
        <f t="shared" ref="U14" si="15">U9-U13</f>
        <v>31792.948596630013</v>
      </c>
    </row>
    <row r="15" spans="1:26" x14ac:dyDescent="0.2">
      <c r="B15" s="1" t="s">
        <v>16</v>
      </c>
      <c r="N15" s="1">
        <v>2987</v>
      </c>
      <c r="O15" s="1">
        <v>3473</v>
      </c>
      <c r="P15" s="1">
        <v>3944</v>
      </c>
      <c r="Q15" s="1">
        <f>P15*(1+Q27)</f>
        <v>4291.541501976285</v>
      </c>
      <c r="R15" s="1">
        <f t="shared" ref="R15:U15" si="16">Q15*(1+R27)</f>
        <v>4763.6110671936767</v>
      </c>
      <c r="S15" s="1">
        <f t="shared" si="16"/>
        <v>5287.6082845849814</v>
      </c>
      <c r="T15" s="1">
        <f t="shared" si="16"/>
        <v>5869.2451958893298</v>
      </c>
      <c r="U15" s="1">
        <f t="shared" si="16"/>
        <v>6514.862167437157</v>
      </c>
    </row>
    <row r="16" spans="1:26" x14ac:dyDescent="0.2">
      <c r="B16" s="1" t="s">
        <v>17</v>
      </c>
      <c r="N16" s="1">
        <v>4968</v>
      </c>
      <c r="O16" s="1">
        <v>5351</v>
      </c>
      <c r="P16" s="1">
        <v>5764</v>
      </c>
      <c r="Q16" s="1">
        <f>P16*(1+Q27)</f>
        <v>6271.9181585677752</v>
      </c>
      <c r="R16" s="1">
        <f t="shared" ref="R16:U16" si="17">Q16*(1+R27)</f>
        <v>6961.8291560102307</v>
      </c>
      <c r="S16" s="1">
        <f t="shared" si="17"/>
        <v>7727.6303631713563</v>
      </c>
      <c r="T16" s="1">
        <f t="shared" si="17"/>
        <v>8577.6697031202057</v>
      </c>
      <c r="U16" s="1">
        <f t="shared" si="17"/>
        <v>9521.2133704634289</v>
      </c>
    </row>
    <row r="17" spans="2:24" x14ac:dyDescent="0.2">
      <c r="B17" s="1" t="s">
        <v>18</v>
      </c>
      <c r="N17" s="1">
        <v>1219</v>
      </c>
      <c r="O17" s="1">
        <v>1413</v>
      </c>
      <c r="P17" s="1">
        <v>1529</v>
      </c>
      <c r="Q17" s="1">
        <f>P17*(1+Q27)</f>
        <v>1663.7340153452685</v>
      </c>
      <c r="R17" s="1">
        <f t="shared" ref="R17:U17" si="18">Q17*(1+R27)</f>
        <v>1846.7447570332481</v>
      </c>
      <c r="S17" s="1">
        <f t="shared" si="18"/>
        <v>2049.8866803069054</v>
      </c>
      <c r="T17" s="1">
        <f t="shared" si="18"/>
        <v>2275.374215140665</v>
      </c>
      <c r="U17" s="1">
        <f t="shared" si="18"/>
        <v>2525.6653788061385</v>
      </c>
    </row>
    <row r="18" spans="2:24" x14ac:dyDescent="0.2">
      <c r="B18" s="1" t="s">
        <v>19</v>
      </c>
      <c r="N18" s="1">
        <f>SUM(N15:N17)</f>
        <v>9174</v>
      </c>
      <c r="O18" s="1">
        <f t="shared" ref="O18:U18" si="19">SUM(O15:O17)</f>
        <v>10237</v>
      </c>
      <c r="P18" s="1">
        <f t="shared" si="19"/>
        <v>11237</v>
      </c>
      <c r="Q18" s="1">
        <f t="shared" si="19"/>
        <v>12227.193675889328</v>
      </c>
      <c r="R18" s="1">
        <f t="shared" si="19"/>
        <v>13572.184980237154</v>
      </c>
      <c r="S18" s="1">
        <f t="shared" si="19"/>
        <v>15065.125328063243</v>
      </c>
      <c r="T18" s="1">
        <f t="shared" si="19"/>
        <v>16722.2891141502</v>
      </c>
      <c r="U18" s="1">
        <f t="shared" si="19"/>
        <v>18561.740916706724</v>
      </c>
    </row>
    <row r="19" spans="2:24" x14ac:dyDescent="0.2">
      <c r="B19" s="1" t="s">
        <v>20</v>
      </c>
      <c r="N19" s="1">
        <f>N14-N18</f>
        <v>6267</v>
      </c>
      <c r="O19" s="1">
        <f t="shared" ref="O19:U19" si="20">O14-O18</f>
        <v>6818</v>
      </c>
      <c r="P19" s="1">
        <f t="shared" si="20"/>
        <v>7910</v>
      </c>
      <c r="Q19" s="1">
        <f t="shared" si="20"/>
        <v>8715.806324110672</v>
      </c>
      <c r="R19" s="1">
        <f t="shared" si="20"/>
        <v>9674.5450197628488</v>
      </c>
      <c r="S19" s="1">
        <f t="shared" si="20"/>
        <v>10738.744971936763</v>
      </c>
      <c r="T19" s="1">
        <f t="shared" si="20"/>
        <v>11920.006918849809</v>
      </c>
      <c r="U19" s="1">
        <f t="shared" si="20"/>
        <v>13231.207679923289</v>
      </c>
    </row>
    <row r="20" spans="2:24" x14ac:dyDescent="0.2">
      <c r="B20" s="1" t="s">
        <v>21</v>
      </c>
      <c r="N20" s="1">
        <f>-112-19</f>
        <v>-131</v>
      </c>
      <c r="O20" s="1">
        <f>-113+16</f>
        <v>-97</v>
      </c>
      <c r="P20" s="1">
        <f>-169+48</f>
        <v>-121</v>
      </c>
      <c r="Q20" s="1">
        <f>P35*$X$85</f>
        <v>11.34</v>
      </c>
      <c r="R20" s="1">
        <f>Q35*$X$85</f>
        <v>438.09745524901183</v>
      </c>
      <c r="S20" s="1">
        <f>R35*$X$85</f>
        <v>932.6056722770918</v>
      </c>
      <c r="T20" s="1">
        <f>S35*$X$85</f>
        <v>1503.3347187791492</v>
      </c>
      <c r="U20" s="1">
        <f>T35*$X$85</f>
        <v>2159.7361248592051</v>
      </c>
    </row>
    <row r="21" spans="2:24" x14ac:dyDescent="0.2">
      <c r="B21" s="1" t="s">
        <v>22</v>
      </c>
      <c r="N21" s="1">
        <f>N19+N20</f>
        <v>6136</v>
      </c>
      <c r="O21" s="1">
        <f t="shared" ref="O21:U21" si="21">O19+O20</f>
        <v>6721</v>
      </c>
      <c r="P21" s="1">
        <f t="shared" si="21"/>
        <v>7789</v>
      </c>
      <c r="Q21" s="1">
        <f t="shared" si="21"/>
        <v>8727.1463241106721</v>
      </c>
      <c r="R21" s="1">
        <f t="shared" si="21"/>
        <v>10112.64247501186</v>
      </c>
      <c r="S21" s="1">
        <f t="shared" si="21"/>
        <v>11671.350644213855</v>
      </c>
      <c r="T21" s="1">
        <f t="shared" si="21"/>
        <v>13423.341637628959</v>
      </c>
      <c r="U21" s="1">
        <f t="shared" si="21"/>
        <v>15390.943804782495</v>
      </c>
    </row>
    <row r="22" spans="2:24" x14ac:dyDescent="0.2">
      <c r="B22" s="1" t="s">
        <v>23</v>
      </c>
      <c r="N22" s="1">
        <v>1252</v>
      </c>
      <c r="O22" s="1">
        <v>1371</v>
      </c>
      <c r="P22" s="1">
        <v>1371</v>
      </c>
      <c r="Q22" s="1">
        <f>Q21*Q28</f>
        <v>1614.5220699604743</v>
      </c>
      <c r="R22" s="1">
        <f t="shared" ref="R22:U22" si="22">R21*R28</f>
        <v>1870.8388578771942</v>
      </c>
      <c r="S22" s="1">
        <f t="shared" si="22"/>
        <v>2159.1998691795629</v>
      </c>
      <c r="T22" s="1">
        <f t="shared" si="22"/>
        <v>2483.3182029613572</v>
      </c>
      <c r="U22" s="1">
        <f t="shared" si="22"/>
        <v>2847.3246038847615</v>
      </c>
    </row>
    <row r="23" spans="2:24" s="3" customFormat="1" ht="15" x14ac:dyDescent="0.25">
      <c r="B23" s="3" t="s">
        <v>24</v>
      </c>
      <c r="N23" s="3">
        <f>N21-N22</f>
        <v>4884</v>
      </c>
      <c r="O23" s="3">
        <f t="shared" ref="O23:P23" si="23">O21-O22</f>
        <v>5350</v>
      </c>
      <c r="P23" s="3">
        <f t="shared" si="23"/>
        <v>6418</v>
      </c>
      <c r="Q23" s="3">
        <f t="shared" ref="Q23" si="24">Q21-Q22</f>
        <v>7112.6242541501979</v>
      </c>
      <c r="R23" s="3">
        <f t="shared" ref="R23" si="25">R21-R22</f>
        <v>8241.8036171346666</v>
      </c>
      <c r="S23" s="3">
        <f t="shared" ref="S23" si="26">S21-S22</f>
        <v>9512.1507750342917</v>
      </c>
      <c r="T23" s="3">
        <f t="shared" ref="T23" si="27">T21-T22</f>
        <v>10940.023434667601</v>
      </c>
      <c r="U23" s="3">
        <f t="shared" ref="U23" si="28">U21-U22</f>
        <v>12543.619200897734</v>
      </c>
    </row>
    <row r="24" spans="2:24" x14ac:dyDescent="0.2">
      <c r="B24" s="1" t="s">
        <v>2</v>
      </c>
      <c r="N24" s="1">
        <v>471</v>
      </c>
      <c r="O24" s="1">
        <v>459</v>
      </c>
      <c r="P24" s="1">
        <v>450</v>
      </c>
      <c r="Q24" s="1">
        <v>450</v>
      </c>
      <c r="R24" s="1">
        <v>450</v>
      </c>
      <c r="S24" s="1">
        <v>450</v>
      </c>
      <c r="T24" s="1">
        <v>450</v>
      </c>
      <c r="U24" s="1">
        <v>450</v>
      </c>
    </row>
    <row r="25" spans="2:24" x14ac:dyDescent="0.2">
      <c r="B25" s="1" t="s">
        <v>25</v>
      </c>
      <c r="G25" s="5">
        <v>4.1399999999999997</v>
      </c>
      <c r="N25" s="5">
        <f>N23/N24</f>
        <v>10.369426751592357</v>
      </c>
      <c r="O25" s="5">
        <f t="shared" ref="O25:U25" si="29">O23/O24</f>
        <v>11.655773420479303</v>
      </c>
      <c r="P25" s="5">
        <f t="shared" si="29"/>
        <v>14.262222222222222</v>
      </c>
      <c r="Q25" s="5">
        <f t="shared" si="29"/>
        <v>15.805831675889328</v>
      </c>
      <c r="R25" s="5">
        <f t="shared" si="29"/>
        <v>18.315119149188149</v>
      </c>
      <c r="S25" s="5">
        <f t="shared" si="29"/>
        <v>21.138112833409537</v>
      </c>
      <c r="T25" s="5">
        <f t="shared" si="29"/>
        <v>24.311163188150225</v>
      </c>
      <c r="U25" s="5">
        <f t="shared" si="29"/>
        <v>27.874709335328298</v>
      </c>
    </row>
    <row r="27" spans="2:24" s="3" customFormat="1" ht="15" x14ac:dyDescent="0.25">
      <c r="B27" s="3" t="s">
        <v>38</v>
      </c>
      <c r="O27" s="7">
        <f>O9/N9-1</f>
        <v>0.10240826990798602</v>
      </c>
      <c r="P27" s="7">
        <f>P9/O9-1</f>
        <v>0.10799113813179462</v>
      </c>
      <c r="Q27" s="7">
        <f t="shared" ref="Q27:U27" si="30">Q9/P9-1</f>
        <v>8.811904208323651E-2</v>
      </c>
      <c r="R27" s="7">
        <f t="shared" si="30"/>
        <v>0.1100000000000001</v>
      </c>
      <c r="S27" s="7">
        <f t="shared" si="30"/>
        <v>0.1100000000000001</v>
      </c>
      <c r="T27" s="7">
        <f t="shared" si="30"/>
        <v>0.1100000000000001</v>
      </c>
      <c r="U27" s="7">
        <f t="shared" si="30"/>
        <v>0.1100000000000001</v>
      </c>
    </row>
    <row r="28" spans="2:24" x14ac:dyDescent="0.2">
      <c r="B28" s="1" t="s">
        <v>26</v>
      </c>
      <c r="N28" s="4">
        <f>N22/N21</f>
        <v>0.20404172099087353</v>
      </c>
      <c r="O28" s="4">
        <f t="shared" ref="O28:P28" si="31">O22/O21</f>
        <v>0.2039875018598423</v>
      </c>
      <c r="P28" s="4">
        <f t="shared" si="31"/>
        <v>0.17601746052124792</v>
      </c>
      <c r="Q28" s="4">
        <v>0.185</v>
      </c>
      <c r="R28" s="4">
        <v>0.185</v>
      </c>
      <c r="S28" s="4">
        <v>0.185</v>
      </c>
      <c r="T28" s="4">
        <v>0.185</v>
      </c>
      <c r="U28" s="4">
        <v>0.185</v>
      </c>
    </row>
    <row r="30" spans="2:24" s="3" customFormat="1" ht="15" x14ac:dyDescent="0.25">
      <c r="B30" s="3" t="s">
        <v>27</v>
      </c>
      <c r="N30" s="7">
        <f>N14/N9</f>
        <v>0.87703055776439853</v>
      </c>
      <c r="O30" s="7">
        <f t="shared" ref="O30:P30" si="32">O14/O9</f>
        <v>0.87871605955999799</v>
      </c>
      <c r="P30" s="7">
        <f t="shared" si="32"/>
        <v>0.89035108114392003</v>
      </c>
      <c r="Q30" s="10">
        <v>0.89500000000000002</v>
      </c>
      <c r="R30" s="10">
        <v>0.89500000000000002</v>
      </c>
      <c r="S30" s="10">
        <v>0.89500000000000002</v>
      </c>
      <c r="T30" s="10">
        <v>0.89500000000000002</v>
      </c>
      <c r="U30" s="10">
        <v>0.89500000000000002</v>
      </c>
    </row>
    <row r="31" spans="2:24" s="3" customFormat="1" ht="15" x14ac:dyDescent="0.25">
      <c r="B31" s="1" t="s">
        <v>40</v>
      </c>
      <c r="N31" s="4">
        <f>N19/N9</f>
        <v>0.35595819606952173</v>
      </c>
      <c r="O31" s="4">
        <f t="shared" ref="O31:U31" si="33">O19/O9</f>
        <v>0.35128033386573237</v>
      </c>
      <c r="P31" s="4">
        <f t="shared" si="33"/>
        <v>0.36782143687514529</v>
      </c>
      <c r="Q31" s="4">
        <f t="shared" si="33"/>
        <v>0.37247035573122528</v>
      </c>
      <c r="R31" s="4">
        <f t="shared" si="33"/>
        <v>0.37247035573122533</v>
      </c>
      <c r="S31" s="4">
        <f t="shared" si="33"/>
        <v>0.37247035573122539</v>
      </c>
      <c r="T31" s="4">
        <f t="shared" si="33"/>
        <v>0.37247035573122539</v>
      </c>
      <c r="U31" s="4">
        <f t="shared" si="33"/>
        <v>0.37247035573122539</v>
      </c>
      <c r="W31" s="1"/>
      <c r="X31" s="4"/>
    </row>
    <row r="32" spans="2:24" s="3" customFormat="1" ht="15" x14ac:dyDescent="0.25">
      <c r="B32" s="1" t="s">
        <v>37</v>
      </c>
      <c r="N32" s="4">
        <f>N68/N9</f>
        <v>0.27740542996705669</v>
      </c>
      <c r="O32" s="4">
        <f>O68/O9</f>
        <v>0.27564531918182289</v>
      </c>
      <c r="P32" s="4">
        <f>P68/P9</f>
        <v>0.29844222273889792</v>
      </c>
      <c r="Q32" s="4">
        <v>0.4</v>
      </c>
      <c r="R32" s="4">
        <f>Q32*1.04</f>
        <v>0.41600000000000004</v>
      </c>
      <c r="S32" s="4">
        <f t="shared" ref="S32:U32" si="34">R32*1.04</f>
        <v>0.43264000000000008</v>
      </c>
      <c r="T32" s="4">
        <f t="shared" si="34"/>
        <v>0.44994560000000011</v>
      </c>
      <c r="U32" s="4">
        <f t="shared" si="34"/>
        <v>0.46794342400000011</v>
      </c>
      <c r="W32" s="1"/>
      <c r="X32" s="4"/>
    </row>
    <row r="33" spans="2:26" s="3" customFormat="1" ht="15" x14ac:dyDescent="0.25">
      <c r="B33" s="1" t="s">
        <v>39</v>
      </c>
      <c r="N33" s="4">
        <f>N18/N9</f>
        <v>0.5210723616948767</v>
      </c>
      <c r="O33" s="4">
        <f t="shared" ref="O33:U33" si="35">O18/O9</f>
        <v>0.52743572569426556</v>
      </c>
      <c r="P33" s="4">
        <f t="shared" si="35"/>
        <v>0.52252964426877468</v>
      </c>
      <c r="Q33" s="4">
        <f t="shared" si="35"/>
        <v>0.52252964426877468</v>
      </c>
      <c r="R33" s="4">
        <f t="shared" si="35"/>
        <v>0.52252964426877468</v>
      </c>
      <c r="S33" s="4">
        <f t="shared" si="35"/>
        <v>0.52252964426877468</v>
      </c>
      <c r="T33" s="4">
        <f t="shared" si="35"/>
        <v>0.52252964426877457</v>
      </c>
      <c r="U33" s="4">
        <f t="shared" si="35"/>
        <v>0.52252964426877457</v>
      </c>
      <c r="W33" s="1"/>
      <c r="X33" s="4"/>
    </row>
    <row r="34" spans="2:26" ht="15" x14ac:dyDescent="0.25">
      <c r="X34" s="3"/>
      <c r="Y34" s="3"/>
      <c r="Z34" s="3"/>
    </row>
    <row r="35" spans="2:26" x14ac:dyDescent="0.2">
      <c r="B35" s="1" t="s">
        <v>30</v>
      </c>
      <c r="G35" s="1">
        <f>G36-G37</f>
        <v>-262</v>
      </c>
      <c r="L35" s="1">
        <f>L36-L37</f>
        <v>0</v>
      </c>
      <c r="M35" s="1">
        <f>M36-M37</f>
        <v>0</v>
      </c>
      <c r="N35" s="1">
        <f>N36-N37</f>
        <v>0</v>
      </c>
      <c r="O35" s="1">
        <f>O36-O37</f>
        <v>2832</v>
      </c>
      <c r="P35" s="1">
        <f>P36-P37</f>
        <v>189</v>
      </c>
      <c r="Q35" s="1">
        <f>P35+Q23</f>
        <v>7301.6242541501979</v>
      </c>
      <c r="R35" s="1">
        <f>Q35+R23</f>
        <v>15543.427871284865</v>
      </c>
      <c r="S35" s="1">
        <f>R35+S23</f>
        <v>25055.578646319154</v>
      </c>
      <c r="T35" s="1">
        <f>S35+T23</f>
        <v>35995.602080986755</v>
      </c>
      <c r="U35" s="1">
        <f>T35+U23</f>
        <v>48539.221281884486</v>
      </c>
    </row>
    <row r="36" spans="2:26" x14ac:dyDescent="0.2">
      <c r="B36" s="1" t="s">
        <v>4</v>
      </c>
      <c r="G36" s="1">
        <f>6758+677</f>
        <v>7435</v>
      </c>
      <c r="O36" s="1">
        <f>O39+O40</f>
        <v>7842</v>
      </c>
      <c r="P36" s="1">
        <f>P39+P40</f>
        <v>7886</v>
      </c>
    </row>
    <row r="37" spans="2:26" x14ac:dyDescent="0.2">
      <c r="B37" s="1" t="s">
        <v>5</v>
      </c>
      <c r="G37" s="1">
        <f>6155+143+567+334+498</f>
        <v>7697</v>
      </c>
      <c r="O37" s="1">
        <f>SUM(O57:O61)</f>
        <v>5010</v>
      </c>
      <c r="P37" s="1">
        <f>6155+143+567+334+498</f>
        <v>7697</v>
      </c>
    </row>
    <row r="39" spans="2:26" x14ac:dyDescent="0.2">
      <c r="B39" s="1" t="s">
        <v>4</v>
      </c>
      <c r="O39" s="1">
        <v>7141</v>
      </c>
      <c r="P39" s="1">
        <v>7613</v>
      </c>
    </row>
    <row r="40" spans="2:26" x14ac:dyDescent="0.2">
      <c r="B40" s="1" t="s">
        <v>41</v>
      </c>
      <c r="O40" s="1">
        <v>701</v>
      </c>
      <c r="P40" s="1">
        <v>273</v>
      </c>
    </row>
    <row r="41" spans="2:26" x14ac:dyDescent="0.2">
      <c r="B41" s="1" t="s">
        <v>42</v>
      </c>
      <c r="O41" s="1">
        <v>2224</v>
      </c>
      <c r="P41" s="1">
        <v>2072</v>
      </c>
    </row>
    <row r="42" spans="2:26" x14ac:dyDescent="0.2">
      <c r="B42" s="1" t="s">
        <v>43</v>
      </c>
      <c r="O42" s="1">
        <v>1018</v>
      </c>
      <c r="P42" s="1">
        <v>1274</v>
      </c>
    </row>
    <row r="43" spans="2:26" x14ac:dyDescent="0.2">
      <c r="B43" s="1" t="s">
        <v>44</v>
      </c>
      <c r="O43" s="1">
        <v>2030</v>
      </c>
      <c r="P43" s="1">
        <v>1936</v>
      </c>
    </row>
    <row r="44" spans="2:26" x14ac:dyDescent="0.2">
      <c r="B44" s="1" t="s">
        <v>45</v>
      </c>
      <c r="O44" s="1">
        <v>358</v>
      </c>
      <c r="P44" s="1">
        <v>281</v>
      </c>
    </row>
    <row r="45" spans="2:26" x14ac:dyDescent="0.2">
      <c r="B45" s="1" t="s">
        <v>46</v>
      </c>
      <c r="O45" s="1">
        <v>12805</v>
      </c>
      <c r="P45" s="1">
        <v>12788</v>
      </c>
    </row>
    <row r="46" spans="2:26" x14ac:dyDescent="0.2">
      <c r="B46" s="1" t="s">
        <v>47</v>
      </c>
      <c r="O46" s="1">
        <v>1088</v>
      </c>
      <c r="P46" s="1">
        <v>782</v>
      </c>
    </row>
    <row r="47" spans="2:26" x14ac:dyDescent="0.2">
      <c r="B47" s="1" t="s">
        <v>48</v>
      </c>
      <c r="O47" s="1">
        <v>1191</v>
      </c>
      <c r="P47" s="1">
        <v>1657</v>
      </c>
    </row>
    <row r="48" spans="2:26" x14ac:dyDescent="0.2">
      <c r="B48" s="1" t="s">
        <v>49</v>
      </c>
      <c r="O48" s="1">
        <v>1223</v>
      </c>
      <c r="P48" s="1">
        <v>1554</v>
      </c>
    </row>
    <row r="49" spans="2:16" x14ac:dyDescent="0.2">
      <c r="B49" s="1" t="s">
        <v>50</v>
      </c>
      <c r="O49" s="1">
        <f>SUM(O39:O48)</f>
        <v>29779</v>
      </c>
      <c r="P49" s="1">
        <f>SUM(P39:P48)</f>
        <v>30230</v>
      </c>
    </row>
    <row r="51" spans="2:16" x14ac:dyDescent="0.2">
      <c r="B51" s="1" t="s">
        <v>51</v>
      </c>
      <c r="O51" s="1">
        <v>314</v>
      </c>
      <c r="P51" s="1">
        <v>361</v>
      </c>
    </row>
    <row r="52" spans="2:16" x14ac:dyDescent="0.2">
      <c r="B52" s="1" t="s">
        <v>52</v>
      </c>
      <c r="O52" s="1">
        <v>1942</v>
      </c>
      <c r="P52" s="1">
        <v>2336</v>
      </c>
    </row>
    <row r="53" spans="2:16" x14ac:dyDescent="0.2">
      <c r="B53" s="1" t="s">
        <v>56</v>
      </c>
      <c r="O53" s="1">
        <v>0</v>
      </c>
      <c r="P53" s="1">
        <v>1499</v>
      </c>
    </row>
    <row r="54" spans="2:16" x14ac:dyDescent="0.2">
      <c r="B54" s="1" t="s">
        <v>53</v>
      </c>
      <c r="O54" s="1">
        <v>5837</v>
      </c>
      <c r="P54" s="1">
        <v>6131</v>
      </c>
    </row>
    <row r="55" spans="2:16" x14ac:dyDescent="0.2">
      <c r="B55" s="1" t="s">
        <v>54</v>
      </c>
      <c r="O55" s="1">
        <v>85</v>
      </c>
      <c r="P55" s="1">
        <v>119</v>
      </c>
    </row>
    <row r="56" spans="2:16" x14ac:dyDescent="0.2">
      <c r="B56" s="1" t="s">
        <v>55</v>
      </c>
      <c r="O56" s="1">
        <v>73</v>
      </c>
      <c r="P56" s="1">
        <v>75</v>
      </c>
    </row>
    <row r="57" spans="2:16" x14ac:dyDescent="0.2">
      <c r="B57" s="1" t="s">
        <v>57</v>
      </c>
      <c r="O57" s="1">
        <v>3634</v>
      </c>
      <c r="P57" s="1">
        <v>4129</v>
      </c>
    </row>
    <row r="58" spans="2:16" x14ac:dyDescent="0.2">
      <c r="B58" s="1" t="s">
        <v>58</v>
      </c>
      <c r="O58" s="1">
        <v>113</v>
      </c>
      <c r="P58" s="1">
        <v>128</v>
      </c>
    </row>
    <row r="59" spans="2:16" x14ac:dyDescent="0.2">
      <c r="B59" s="1" t="s">
        <v>70</v>
      </c>
      <c r="O59" s="1">
        <v>514</v>
      </c>
      <c r="P59" s="1">
        <v>548</v>
      </c>
    </row>
    <row r="60" spans="2:16" x14ac:dyDescent="0.2">
      <c r="B60" s="1" t="s">
        <v>55</v>
      </c>
      <c r="O60" s="1">
        <v>373</v>
      </c>
      <c r="P60" s="1">
        <v>353</v>
      </c>
    </row>
    <row r="61" spans="2:16" x14ac:dyDescent="0.2">
      <c r="B61" s="1" t="s">
        <v>59</v>
      </c>
      <c r="O61" s="1">
        <v>376</v>
      </c>
      <c r="P61" s="1">
        <v>446</v>
      </c>
    </row>
    <row r="62" spans="2:16" x14ac:dyDescent="0.2">
      <c r="B62" s="1" t="s">
        <v>61</v>
      </c>
      <c r="O62" s="1">
        <f>SUM(O51:O61)</f>
        <v>13261</v>
      </c>
      <c r="P62" s="1">
        <f>SUM(P51:P61)</f>
        <v>16125</v>
      </c>
    </row>
    <row r="63" spans="2:16" x14ac:dyDescent="0.2">
      <c r="B63" s="1" t="s">
        <v>60</v>
      </c>
      <c r="O63" s="1">
        <f>O49-O62</f>
        <v>16518</v>
      </c>
      <c r="P63" s="1">
        <f>P49-P62</f>
        <v>14105</v>
      </c>
    </row>
    <row r="64" spans="2:16" x14ac:dyDescent="0.2">
      <c r="B64" s="1" t="s">
        <v>62</v>
      </c>
      <c r="O64" s="1">
        <f>O63+O62</f>
        <v>29779</v>
      </c>
      <c r="P64" s="1">
        <f>P63+P62</f>
        <v>30230</v>
      </c>
    </row>
    <row r="66" spans="2:21" x14ac:dyDescent="0.2">
      <c r="B66" s="1" t="s">
        <v>71</v>
      </c>
      <c r="O66" s="1">
        <f>O41/O9*360</f>
        <v>41.250966046679373</v>
      </c>
      <c r="P66" s="1">
        <f>P41/P9*360</f>
        <v>34.68588700302255</v>
      </c>
    </row>
    <row r="67" spans="2:21" x14ac:dyDescent="0.2">
      <c r="P67" s="4"/>
      <c r="Q67" s="4"/>
      <c r="R67" s="4"/>
    </row>
    <row r="68" spans="2:21" s="3" customFormat="1" ht="15" x14ac:dyDescent="0.25">
      <c r="B68" s="1" t="s">
        <v>72</v>
      </c>
      <c r="N68" s="3">
        <f>N23</f>
        <v>4884</v>
      </c>
      <c r="O68" s="3">
        <f t="shared" ref="O68:U68" si="36">O23</f>
        <v>5350</v>
      </c>
      <c r="P68" s="3">
        <f t="shared" si="36"/>
        <v>6418</v>
      </c>
      <c r="Q68" s="3">
        <f t="shared" si="36"/>
        <v>7112.6242541501979</v>
      </c>
      <c r="R68" s="3">
        <f t="shared" si="36"/>
        <v>8241.8036171346666</v>
      </c>
      <c r="S68" s="3">
        <f t="shared" si="36"/>
        <v>9512.1507750342917</v>
      </c>
      <c r="T68" s="3">
        <f t="shared" si="36"/>
        <v>10940.023434667601</v>
      </c>
      <c r="U68" s="3">
        <f t="shared" si="36"/>
        <v>12543.619200897734</v>
      </c>
    </row>
    <row r="69" spans="2:21" x14ac:dyDescent="0.2">
      <c r="B69" s="1" t="s">
        <v>73</v>
      </c>
      <c r="N69" s="1">
        <v>4756</v>
      </c>
      <c r="O69" s="1">
        <v>5428</v>
      </c>
      <c r="P69" s="1">
        <v>5560</v>
      </c>
    </row>
    <row r="70" spans="2:21" x14ac:dyDescent="0.2">
      <c r="B70" s="1" t="s">
        <v>74</v>
      </c>
      <c r="N70" s="1">
        <v>856</v>
      </c>
      <c r="O70" s="1">
        <v>872</v>
      </c>
      <c r="P70" s="1">
        <v>857</v>
      </c>
      <c r="Q70" s="1">
        <f>P70*(1+Q27)</f>
        <v>932.51801906533365</v>
      </c>
      <c r="R70" s="1">
        <f t="shared" ref="R70:U70" si="37">Q70*(1+R27)</f>
        <v>1035.0950011625205</v>
      </c>
      <c r="S70" s="1">
        <f t="shared" si="37"/>
        <v>1148.9554512903978</v>
      </c>
      <c r="T70" s="1">
        <f t="shared" si="37"/>
        <v>1275.3405509323418</v>
      </c>
      <c r="U70" s="1">
        <f t="shared" si="37"/>
        <v>1415.6280115348995</v>
      </c>
    </row>
    <row r="71" spans="2:21" x14ac:dyDescent="0.2">
      <c r="B71" s="1" t="s">
        <v>75</v>
      </c>
      <c r="N71" s="1">
        <v>1440</v>
      </c>
      <c r="O71" s="1">
        <v>1718</v>
      </c>
      <c r="P71" s="1">
        <v>1833</v>
      </c>
      <c r="Q71" s="1">
        <f>P71*1.13</f>
        <v>2071.29</v>
      </c>
      <c r="R71" s="1">
        <f t="shared" ref="R71:U71" si="38">Q71*1.13</f>
        <v>2340.5576999999998</v>
      </c>
      <c r="S71" s="1">
        <f t="shared" si="38"/>
        <v>2644.8302009999998</v>
      </c>
      <c r="T71" s="1">
        <f t="shared" si="38"/>
        <v>2988.6581271299992</v>
      </c>
      <c r="U71" s="1">
        <f t="shared" si="38"/>
        <v>3377.1836836568987</v>
      </c>
    </row>
    <row r="72" spans="2:21" x14ac:dyDescent="0.2">
      <c r="B72" s="1" t="s">
        <v>76</v>
      </c>
      <c r="N72" s="1">
        <v>83</v>
      </c>
      <c r="O72" s="1">
        <v>72</v>
      </c>
      <c r="P72" s="1">
        <v>77</v>
      </c>
      <c r="Q72" s="1">
        <f>P72*(1+Q27)</f>
        <v>83.785166240409211</v>
      </c>
      <c r="R72" s="1">
        <f t="shared" ref="R72:U72" si="39">Q72*(1+R27)</f>
        <v>93.001534526854229</v>
      </c>
      <c r="S72" s="1">
        <f t="shared" si="39"/>
        <v>103.23170332480821</v>
      </c>
      <c r="T72" s="1">
        <f t="shared" si="39"/>
        <v>114.58719069053713</v>
      </c>
      <c r="U72" s="1">
        <f t="shared" si="39"/>
        <v>127.19178166649623</v>
      </c>
    </row>
    <row r="73" spans="2:21" x14ac:dyDescent="0.2">
      <c r="B73" s="1" t="s">
        <v>77</v>
      </c>
      <c r="N73" s="1">
        <v>0</v>
      </c>
      <c r="O73" s="1">
        <v>0</v>
      </c>
      <c r="P73" s="1">
        <v>78</v>
      </c>
      <c r="Q73" s="1">
        <f>P73*(1+Q27)</f>
        <v>84.873285282492446</v>
      </c>
      <c r="R73" s="1">
        <f t="shared" ref="R73:U73" si="40">Q73*(1+R27)</f>
        <v>94.20934666356662</v>
      </c>
      <c r="S73" s="1">
        <f t="shared" si="40"/>
        <v>104.57237479655896</v>
      </c>
      <c r="T73" s="1">
        <f t="shared" si="40"/>
        <v>116.07533602418046</v>
      </c>
      <c r="U73" s="1">
        <f t="shared" si="40"/>
        <v>128.84362298684033</v>
      </c>
    </row>
    <row r="74" spans="2:21" x14ac:dyDescent="0.2">
      <c r="B74" s="1" t="s">
        <v>48</v>
      </c>
      <c r="N74" s="1">
        <v>328</v>
      </c>
      <c r="O74" s="1">
        <v>-426</v>
      </c>
      <c r="P74" s="1">
        <v>-468</v>
      </c>
      <c r="Q74" s="1">
        <f>P74*(1+Q27)</f>
        <v>-509.23971169495468</v>
      </c>
      <c r="R74" s="1">
        <f t="shared" ref="R74:U74" si="41">Q74*(1+R27)</f>
        <v>-565.25607998139969</v>
      </c>
      <c r="S74" s="1">
        <f t="shared" si="41"/>
        <v>-627.43424877935377</v>
      </c>
      <c r="T74" s="1">
        <f t="shared" si="41"/>
        <v>-696.45201614508278</v>
      </c>
      <c r="U74" s="1">
        <f t="shared" si="41"/>
        <v>-773.06173792104198</v>
      </c>
    </row>
    <row r="75" spans="2:21" x14ac:dyDescent="0.2">
      <c r="B75" s="1" t="s">
        <v>78</v>
      </c>
      <c r="N75" s="1">
        <v>29</v>
      </c>
      <c r="O75" s="1">
        <v>-10</v>
      </c>
      <c r="P75" s="1">
        <v>-35</v>
      </c>
      <c r="Q75" s="1">
        <f>P75*(1+Q27)</f>
        <v>-38.084166472913275</v>
      </c>
      <c r="R75" s="1">
        <f t="shared" ref="R75:U75" si="42">Q75*(1+R27)</f>
        <v>-42.273424784933738</v>
      </c>
      <c r="S75" s="1">
        <f t="shared" si="42"/>
        <v>-46.923501511276456</v>
      </c>
      <c r="T75" s="1">
        <f t="shared" si="42"/>
        <v>-52.08508667751687</v>
      </c>
      <c r="U75" s="1">
        <f t="shared" si="42"/>
        <v>-57.814446212043734</v>
      </c>
    </row>
    <row r="76" spans="2:21" x14ac:dyDescent="0.2">
      <c r="B76" s="1" t="s">
        <v>79</v>
      </c>
      <c r="N76" s="1">
        <v>10</v>
      </c>
      <c r="O76" s="1">
        <v>3</v>
      </c>
      <c r="P76" s="1">
        <v>10</v>
      </c>
      <c r="Q76" s="1">
        <f>P76*(1+Q27)</f>
        <v>10.881190420832365</v>
      </c>
      <c r="R76" s="1">
        <f t="shared" ref="R76:U76" si="43">Q76*(1+R27)</f>
        <v>12.078121367123925</v>
      </c>
      <c r="S76" s="1">
        <f t="shared" si="43"/>
        <v>13.406714717507558</v>
      </c>
      <c r="T76" s="1">
        <f t="shared" si="43"/>
        <v>14.881453336433392</v>
      </c>
      <c r="U76" s="1">
        <f t="shared" si="43"/>
        <v>16.518413203441067</v>
      </c>
    </row>
    <row r="77" spans="2:21" x14ac:dyDescent="0.2">
      <c r="B77" s="1" t="s">
        <v>42</v>
      </c>
      <c r="N77" s="1">
        <v>-198</v>
      </c>
      <c r="O77" s="1">
        <v>-159</v>
      </c>
      <c r="P77" s="1">
        <v>143</v>
      </c>
      <c r="Q77" s="1">
        <f>P77*(1+Q27)</f>
        <v>155.60102301790283</v>
      </c>
      <c r="R77" s="1">
        <f t="shared" ref="R77:U77" si="44">Q77*(1+R27)</f>
        <v>172.71713554987215</v>
      </c>
      <c r="S77" s="1">
        <f t="shared" si="44"/>
        <v>191.7160204603581</v>
      </c>
      <c r="T77" s="1">
        <f t="shared" si="44"/>
        <v>212.8047827109975</v>
      </c>
      <c r="U77" s="1">
        <f t="shared" si="44"/>
        <v>236.21330880920723</v>
      </c>
    </row>
    <row r="78" spans="2:21" x14ac:dyDescent="0.2">
      <c r="B78" s="1" t="s">
        <v>43</v>
      </c>
      <c r="N78" s="1">
        <v>-94</v>
      </c>
      <c r="O78" s="1">
        <v>-818</v>
      </c>
      <c r="P78" s="1">
        <v>-616</v>
      </c>
      <c r="Q78" s="1">
        <f>P78*(1+Q27)</f>
        <v>-670.28132992327369</v>
      </c>
      <c r="R78" s="1">
        <f t="shared" ref="R78:U78" si="45">Q78*(1+R27)</f>
        <v>-744.01227621483383</v>
      </c>
      <c r="S78" s="1">
        <f t="shared" si="45"/>
        <v>-825.85362659846567</v>
      </c>
      <c r="T78" s="1">
        <f t="shared" si="45"/>
        <v>-916.69752552429702</v>
      </c>
      <c r="U78" s="1">
        <f t="shared" si="45"/>
        <v>-1017.5342533319698</v>
      </c>
    </row>
    <row r="79" spans="2:21" x14ac:dyDescent="0.2">
      <c r="B79" s="1" t="s">
        <v>80</v>
      </c>
      <c r="N79" s="1">
        <v>66</v>
      </c>
      <c r="O79" s="1">
        <v>-49</v>
      </c>
      <c r="P79" s="1">
        <v>44</v>
      </c>
      <c r="Q79" s="1">
        <f>P79*(1+Q27)</f>
        <v>47.877237851662407</v>
      </c>
      <c r="R79" s="1">
        <f t="shared" ref="R79:U79" si="46">Q79*(1+R27)</f>
        <v>53.143734015345274</v>
      </c>
      <c r="S79" s="1">
        <f t="shared" si="46"/>
        <v>58.989544757033258</v>
      </c>
      <c r="T79" s="1">
        <f t="shared" si="46"/>
        <v>65.47839468030692</v>
      </c>
      <c r="U79" s="1">
        <f t="shared" si="46"/>
        <v>72.681018095140686</v>
      </c>
    </row>
    <row r="80" spans="2:21" x14ac:dyDescent="0.2">
      <c r="B80" s="1" t="s">
        <v>52</v>
      </c>
      <c r="N80" s="1">
        <v>7</v>
      </c>
      <c r="O80" s="1">
        <v>146</v>
      </c>
      <c r="P80" s="1">
        <v>196</v>
      </c>
      <c r="Q80" s="1">
        <f>P80*(1+Q27)</f>
        <v>213.27133224831437</v>
      </c>
      <c r="R80" s="1">
        <f t="shared" ref="R80:U80" si="47">Q80*(1+R27)</f>
        <v>236.73117879562898</v>
      </c>
      <c r="S80" s="1">
        <f t="shared" si="47"/>
        <v>262.7716084631482</v>
      </c>
      <c r="T80" s="1">
        <f t="shared" si="47"/>
        <v>291.67648539409453</v>
      </c>
      <c r="U80" s="1">
        <f t="shared" si="47"/>
        <v>323.76089878744494</v>
      </c>
    </row>
    <row r="81" spans="1:114" x14ac:dyDescent="0.2">
      <c r="B81" s="1" t="s">
        <v>54</v>
      </c>
      <c r="N81" s="1">
        <v>19</v>
      </c>
      <c r="O81" s="1">
        <v>-11</v>
      </c>
      <c r="P81" s="1">
        <v>68</v>
      </c>
      <c r="Q81" s="1">
        <f>P81*(1+Q27)</f>
        <v>73.992094861660078</v>
      </c>
      <c r="R81" s="1">
        <f t="shared" ref="R81:U81" si="48">Q81*(1+R27)</f>
        <v>82.131225296442693</v>
      </c>
      <c r="S81" s="1">
        <f t="shared" si="48"/>
        <v>91.165660079051392</v>
      </c>
      <c r="T81" s="1">
        <f t="shared" si="48"/>
        <v>101.19388268774705</v>
      </c>
      <c r="U81" s="1">
        <f t="shared" si="48"/>
        <v>112.32520978339923</v>
      </c>
    </row>
    <row r="82" spans="1:114" x14ac:dyDescent="0.2">
      <c r="B82" s="1" t="s">
        <v>81</v>
      </c>
      <c r="N82" s="1">
        <v>536</v>
      </c>
      <c r="O82" s="1">
        <v>536</v>
      </c>
      <c r="P82" s="1">
        <v>309</v>
      </c>
      <c r="Q82" s="1">
        <f>P82*(1+Q27)</f>
        <v>336.22878400372008</v>
      </c>
      <c r="R82" s="1">
        <f t="shared" ref="R82:U82" si="49">Q82*(1+R27)</f>
        <v>373.21395024412931</v>
      </c>
      <c r="S82" s="1">
        <f t="shared" si="49"/>
        <v>414.26748477098357</v>
      </c>
      <c r="T82" s="1">
        <f t="shared" si="49"/>
        <v>459.83690809579178</v>
      </c>
      <c r="U82" s="1">
        <f t="shared" si="49"/>
        <v>510.41896798632894</v>
      </c>
    </row>
    <row r="83" spans="1:114" s="3" customFormat="1" ht="15" x14ac:dyDescent="0.25">
      <c r="A83" s="1"/>
      <c r="B83" s="3" t="s">
        <v>28</v>
      </c>
      <c r="C83" s="8"/>
      <c r="D83" s="8"/>
      <c r="E83" s="8"/>
      <c r="F83" s="8"/>
      <c r="H83" s="8"/>
      <c r="I83" s="8"/>
      <c r="J83" s="8"/>
      <c r="N83" s="3">
        <f>SUM(N69:N82)</f>
        <v>7838</v>
      </c>
      <c r="O83" s="3">
        <f t="shared" ref="O83:P83" si="50">SUM(O69:O82)</f>
        <v>7302</v>
      </c>
      <c r="P83" s="3">
        <f t="shared" si="50"/>
        <v>8056</v>
      </c>
      <c r="Q83" s="3">
        <f>SUM(Q68:Q82)</f>
        <v>9905.3371790513847</v>
      </c>
      <c r="R83" s="3">
        <f t="shared" ref="R83:U83" si="51">SUM(R68:R82)</f>
        <v>11383.140763774987</v>
      </c>
      <c r="S83" s="3">
        <f t="shared" si="51"/>
        <v>13045.846161805044</v>
      </c>
      <c r="T83" s="3">
        <f t="shared" si="51"/>
        <v>14915.321918003132</v>
      </c>
      <c r="U83" s="3">
        <f t="shared" si="51"/>
        <v>17015.973679942781</v>
      </c>
    </row>
    <row r="84" spans="1:114" x14ac:dyDescent="0.2">
      <c r="B84" s="1" t="s">
        <v>83</v>
      </c>
      <c r="N84" s="1">
        <v>-909</v>
      </c>
      <c r="O84" s="1">
        <v>0</v>
      </c>
      <c r="P84" s="1">
        <v>-59</v>
      </c>
    </row>
    <row r="85" spans="1:114" x14ac:dyDescent="0.2">
      <c r="B85" s="1" t="s">
        <v>82</v>
      </c>
      <c r="N85" s="1">
        <v>683</v>
      </c>
      <c r="O85" s="1">
        <v>965</v>
      </c>
      <c r="P85" s="1">
        <v>486</v>
      </c>
      <c r="W85" s="1" t="s">
        <v>32</v>
      </c>
      <c r="X85" s="4">
        <v>0.06</v>
      </c>
    </row>
    <row r="86" spans="1:114" x14ac:dyDescent="0.2">
      <c r="B86" s="1" t="s">
        <v>84</v>
      </c>
      <c r="N86" s="1">
        <v>270</v>
      </c>
      <c r="O86" s="1">
        <v>223</v>
      </c>
      <c r="P86" s="1">
        <v>11</v>
      </c>
      <c r="W86" s="1" t="s">
        <v>33</v>
      </c>
      <c r="X86" s="4">
        <v>0.02</v>
      </c>
    </row>
    <row r="87" spans="1:114" x14ac:dyDescent="0.2">
      <c r="B87" s="1" t="s">
        <v>85</v>
      </c>
      <c r="N87" s="1">
        <v>-126</v>
      </c>
      <c r="O87" s="1">
        <v>0</v>
      </c>
      <c r="P87" s="1">
        <v>0</v>
      </c>
      <c r="W87" s="1" t="s">
        <v>34</v>
      </c>
      <c r="X87" s="6">
        <v>8.5000000000000006E-2</v>
      </c>
    </row>
    <row r="88" spans="1:114" ht="15" x14ac:dyDescent="0.25">
      <c r="B88" s="1" t="s">
        <v>86</v>
      </c>
      <c r="N88" s="1">
        <v>-442</v>
      </c>
      <c r="O88" s="1">
        <v>-360</v>
      </c>
      <c r="P88" s="1">
        <v>-183</v>
      </c>
      <c r="W88" s="1" t="s">
        <v>35</v>
      </c>
      <c r="X88" s="3">
        <f>NPV(X87,Q92:DJ92)+main!D5-main!D6</f>
        <v>221656.6093324603</v>
      </c>
    </row>
    <row r="89" spans="1:114" x14ac:dyDescent="0.2">
      <c r="B89" s="1" t="s">
        <v>87</v>
      </c>
      <c r="N89" s="1">
        <v>-46</v>
      </c>
      <c r="O89" s="1">
        <v>-53</v>
      </c>
      <c r="P89" s="1">
        <v>-108</v>
      </c>
      <c r="W89" s="1" t="s">
        <v>1</v>
      </c>
      <c r="X89" s="1">
        <f>X88/main!D3</f>
        <v>520.0765118077436</v>
      </c>
    </row>
    <row r="90" spans="1:114" x14ac:dyDescent="0.2">
      <c r="B90" s="1" t="s">
        <v>88</v>
      </c>
      <c r="N90" s="1">
        <v>0</v>
      </c>
      <c r="O90" s="1">
        <v>1</v>
      </c>
      <c r="P90" s="1">
        <v>2</v>
      </c>
      <c r="W90" s="1" t="s">
        <v>36</v>
      </c>
      <c r="X90" s="4">
        <f>X89/main!D2-1</f>
        <v>0.35790211960246365</v>
      </c>
    </row>
    <row r="91" spans="1:114" s="3" customFormat="1" ht="15" x14ac:dyDescent="0.25">
      <c r="A91" s="1"/>
      <c r="B91" s="3" t="s">
        <v>89</v>
      </c>
      <c r="C91" s="8"/>
      <c r="D91" s="8"/>
      <c r="E91" s="8"/>
      <c r="F91" s="8"/>
      <c r="H91" s="8"/>
      <c r="I91" s="8"/>
      <c r="J91" s="8"/>
      <c r="N91" s="3">
        <f>N88+N87</f>
        <v>-568</v>
      </c>
      <c r="O91" s="3">
        <f t="shared" ref="O91:P91" si="52">O88+O87</f>
        <v>-360</v>
      </c>
      <c r="P91" s="3">
        <f t="shared" si="52"/>
        <v>-183</v>
      </c>
      <c r="Q91" s="3">
        <v>-300</v>
      </c>
      <c r="R91" s="3">
        <f>Q91*(1+R27)</f>
        <v>-333.00000000000006</v>
      </c>
      <c r="S91" s="3">
        <f t="shared" ref="S91:U91" si="53">R91*(1+S27)</f>
        <v>-369.63000000000011</v>
      </c>
      <c r="T91" s="3">
        <f t="shared" si="53"/>
        <v>-410.28930000000014</v>
      </c>
      <c r="U91" s="3">
        <f t="shared" si="53"/>
        <v>-455.42112300000019</v>
      </c>
    </row>
    <row r="92" spans="1:114" s="3" customFormat="1" ht="15" x14ac:dyDescent="0.25">
      <c r="A92" s="1"/>
      <c r="B92" s="3" t="s">
        <v>29</v>
      </c>
      <c r="C92" s="8"/>
      <c r="D92" s="8"/>
      <c r="E92" s="8"/>
      <c r="F92" s="8"/>
      <c r="H92" s="8"/>
      <c r="I92" s="8"/>
      <c r="J92" s="8"/>
      <c r="N92" s="3">
        <f>N83+N91</f>
        <v>7270</v>
      </c>
      <c r="O92" s="3">
        <f t="shared" ref="O92:U92" si="54">O83+O91</f>
        <v>6942</v>
      </c>
      <c r="P92" s="3">
        <f t="shared" si="54"/>
        <v>7873</v>
      </c>
      <c r="Q92" s="3">
        <f t="shared" si="54"/>
        <v>9605.3371790513847</v>
      </c>
      <c r="R92" s="3">
        <f t="shared" si="54"/>
        <v>11050.140763774987</v>
      </c>
      <c r="S92" s="3">
        <f t="shared" si="54"/>
        <v>12676.216161805045</v>
      </c>
      <c r="T92" s="3">
        <f t="shared" si="54"/>
        <v>14505.032618003132</v>
      </c>
      <c r="U92" s="3">
        <f t="shared" si="54"/>
        <v>16560.552556942781</v>
      </c>
      <c r="V92" s="3">
        <f>U92*(1+$X$86)</f>
        <v>16891.763608081637</v>
      </c>
      <c r="W92" s="3">
        <f>V92*(1+$X$86)</f>
        <v>17229.598880243269</v>
      </c>
      <c r="X92" s="3">
        <f>W92*(1+$X$86)</f>
        <v>17574.190857848134</v>
      </c>
      <c r="Y92" s="3">
        <f>X92*(1+$X$86)</f>
        <v>17925.674675005099</v>
      </c>
      <c r="Z92" s="3">
        <f>Y92*(1+$X$86)</f>
        <v>18284.188168505199</v>
      </c>
      <c r="AA92" s="3">
        <f>Z92*(1+$X$86)</f>
        <v>18649.871931875303</v>
      </c>
      <c r="AB92" s="3">
        <f>AA92*(1+$X$86)</f>
        <v>19022.86937051281</v>
      </c>
      <c r="AC92" s="3">
        <f>AB92*(1+$X$86)</f>
        <v>19403.326757923067</v>
      </c>
      <c r="AD92" s="3">
        <f>AC92*(1+$X$86)</f>
        <v>19791.393293081528</v>
      </c>
      <c r="AE92" s="3">
        <f>AD92*(1+$X$86)</f>
        <v>20187.221158943157</v>
      </c>
      <c r="AF92" s="3">
        <f>AE92*(1+$X$86)</f>
        <v>20590.965582122022</v>
      </c>
      <c r="AG92" s="3">
        <f>AF92*(1+$X$86)</f>
        <v>21002.784893764463</v>
      </c>
      <c r="AH92" s="3">
        <f>AG92*(1+$X$86)</f>
        <v>21422.840591639753</v>
      </c>
      <c r="AI92" s="3">
        <f>AH92*(1+$X$86)</f>
        <v>21851.297403472548</v>
      </c>
      <c r="AJ92" s="3">
        <f>AI92*(1+$X$86)</f>
        <v>22288.323351542</v>
      </c>
      <c r="AK92" s="3">
        <f>AJ92*(1+$X$86)</f>
        <v>22734.08981857284</v>
      </c>
      <c r="AL92" s="3">
        <f>AK92*(1+$X$86)</f>
        <v>23188.771614944297</v>
      </c>
      <c r="AM92" s="3">
        <f>AL92*(1+$X$86)</f>
        <v>23652.547047243184</v>
      </c>
      <c r="AN92" s="3">
        <f>AM92*(1+$X$86)</f>
        <v>24125.597988188048</v>
      </c>
      <c r="AO92" s="3">
        <f>AN92*(1+$X$86)</f>
        <v>24608.109947951809</v>
      </c>
      <c r="AP92" s="3">
        <f>AO92*(1+$X$86)</f>
        <v>25100.272146910844</v>
      </c>
      <c r="AQ92" s="3">
        <f>AP92*(1+$X$86)</f>
        <v>25602.277589849062</v>
      </c>
      <c r="AR92" s="3">
        <f>AQ92*(1+$X$86)</f>
        <v>26114.323141646044</v>
      </c>
      <c r="AS92" s="3">
        <f>AR92*(1+$X$86)</f>
        <v>26636.609604478967</v>
      </c>
      <c r="AT92" s="3">
        <f>AS92*(1+$X$86)</f>
        <v>27169.341796568548</v>
      </c>
      <c r="AU92" s="3">
        <f>AT92*(1+$X$86)</f>
        <v>27712.728632499919</v>
      </c>
      <c r="AV92" s="3">
        <f>AU92*(1+$X$86)</f>
        <v>28266.983205149918</v>
      </c>
      <c r="AW92" s="3">
        <f>AV92*(1+$X$86)</f>
        <v>28832.322869252916</v>
      </c>
      <c r="AX92" s="3">
        <f>AW92*(1+$X$86)</f>
        <v>29408.969326637973</v>
      </c>
      <c r="AY92" s="3">
        <f>AX92*(1+$X$86)</f>
        <v>29997.148713170733</v>
      </c>
      <c r="AZ92" s="3">
        <f>AY92*(1+$X$86)</f>
        <v>30597.091687434149</v>
      </c>
      <c r="BA92" s="3">
        <f>AZ92*(1+$X$86)</f>
        <v>31209.033521182831</v>
      </c>
      <c r="BB92" s="3">
        <f>BA92*(1+$X$86)</f>
        <v>31833.21419160649</v>
      </c>
      <c r="BC92" s="3">
        <f>BB92*(1+$X$86)</f>
        <v>32469.878475438622</v>
      </c>
      <c r="BD92" s="3">
        <f>BC92*(1+$X$86)</f>
        <v>33119.276044947394</v>
      </c>
      <c r="BE92" s="3">
        <f>BD92*(1+$X$86)</f>
        <v>33781.661565846342</v>
      </c>
      <c r="BF92" s="3">
        <f>BE92*(1+$X$86)</f>
        <v>34457.294797163268</v>
      </c>
      <c r="BG92" s="3">
        <f>BF92*(1+$X$86)</f>
        <v>35146.440693106531</v>
      </c>
      <c r="BH92" s="3">
        <f>BG92*(1+$X$86)</f>
        <v>35849.369506968666</v>
      </c>
      <c r="BI92" s="3">
        <f>BH92*(1+$X$86)</f>
        <v>36566.356897108039</v>
      </c>
      <c r="BJ92" s="3">
        <f>BI92*(1+$X$86)</f>
        <v>37297.684035050203</v>
      </c>
      <c r="BK92" s="3">
        <f>BJ92*(1+$X$86)</f>
        <v>38043.637715751211</v>
      </c>
      <c r="BL92" s="3">
        <f>BK92*(1+$X$86)</f>
        <v>38804.510470066234</v>
      </c>
      <c r="BM92" s="3">
        <f>BL92*(1+$X$86)</f>
        <v>39580.600679467556</v>
      </c>
      <c r="BN92" s="3">
        <f>BM92*(1+$X$86)</f>
        <v>40372.212693056907</v>
      </c>
      <c r="BO92" s="3">
        <f>BN92*(1+$X$86)</f>
        <v>41179.656946918047</v>
      </c>
      <c r="BP92" s="3">
        <f>BO92*(1+$X$86)</f>
        <v>42003.250085856409</v>
      </c>
      <c r="BQ92" s="3">
        <f>BP92*(1+$X$86)</f>
        <v>42843.315087573537</v>
      </c>
      <c r="BR92" s="3">
        <f>BQ92*(1+$X$86)</f>
        <v>43700.181389325007</v>
      </c>
      <c r="BS92" s="3">
        <f>BR92*(1+$X$86)</f>
        <v>44574.185017111507</v>
      </c>
      <c r="BT92" s="3">
        <f>BS92*(1+$X$86)</f>
        <v>45465.668717453736</v>
      </c>
      <c r="BU92" s="3">
        <f>BT92*(1+$X$86)</f>
        <v>46374.982091802813</v>
      </c>
      <c r="BV92" s="3">
        <f>BU92*(1+$X$86)</f>
        <v>47302.481733638873</v>
      </c>
      <c r="BW92" s="3">
        <f>BV92*(1+$X$86)</f>
        <v>48248.531368311655</v>
      </c>
      <c r="BX92" s="3">
        <f>BW92*(1+$X$86)</f>
        <v>49213.501995677885</v>
      </c>
      <c r="BY92" s="3">
        <f>BX92*(1+$X$86)</f>
        <v>50197.772035591443</v>
      </c>
      <c r="BZ92" s="3">
        <f>BY92*(1+$X$86)</f>
        <v>51201.727476303269</v>
      </c>
      <c r="CA92" s="3">
        <f>BZ92*(1+$X$86)</f>
        <v>52225.762025829339</v>
      </c>
      <c r="CB92" s="3">
        <f>CA92*(1+$X$86)</f>
        <v>53270.277266345925</v>
      </c>
      <c r="CC92" s="3">
        <f>CB92*(1+$X$86)</f>
        <v>54335.682811672843</v>
      </c>
      <c r="CD92" s="3">
        <f>CC92*(1+$X$86)</f>
        <v>55422.396467906299</v>
      </c>
      <c r="CE92" s="3">
        <f>CD92*(1+$X$86)</f>
        <v>56530.844397264424</v>
      </c>
      <c r="CF92" s="3">
        <f>CE92*(1+$X$86)</f>
        <v>57661.461285209713</v>
      </c>
      <c r="CG92" s="3">
        <f>CF92*(1+$X$86)</f>
        <v>58814.690510913904</v>
      </c>
      <c r="CH92" s="3">
        <f>CG92*(1+$X$86)</f>
        <v>59990.984321132186</v>
      </c>
      <c r="CI92" s="3">
        <f>CH92*(1+$X$86)</f>
        <v>61190.804007554834</v>
      </c>
      <c r="CJ92" s="3">
        <f>CI92*(1+$X$86)</f>
        <v>62414.620087705931</v>
      </c>
      <c r="CK92" s="3">
        <f>CJ92*(1+$X$86)</f>
        <v>63662.912489460054</v>
      </c>
      <c r="CL92" s="3">
        <f>CK92*(1+$X$86)</f>
        <v>64936.170739249254</v>
      </c>
      <c r="CM92" s="3">
        <f>CL92*(1+$X$86)</f>
        <v>66234.894154034235</v>
      </c>
      <c r="CN92" s="3">
        <f>CM92*(1+$X$86)</f>
        <v>67559.592037114926</v>
      </c>
      <c r="CO92" s="3">
        <f>CN92*(1+$X$86)</f>
        <v>68910.783877857219</v>
      </c>
      <c r="CP92" s="3">
        <f>CO92*(1+$X$86)</f>
        <v>70288.999555414368</v>
      </c>
      <c r="CQ92" s="3">
        <f>CP92*(1+$X$86)</f>
        <v>71694.779546522652</v>
      </c>
      <c r="CR92" s="3">
        <f>CQ92*(1+$X$86)</f>
        <v>73128.675137453101</v>
      </c>
      <c r="CS92" s="3">
        <f>CR92*(1+$X$86)</f>
        <v>74591.24864020216</v>
      </c>
      <c r="CT92" s="3">
        <f>CS92*(1+$X$86)</f>
        <v>76083.0736130062</v>
      </c>
      <c r="CU92" s="3">
        <f>CT92*(1+$X$86)</f>
        <v>77604.735085266322</v>
      </c>
      <c r="CV92" s="3">
        <f>CU92*(1+$X$86)</f>
        <v>79156.829786971648</v>
      </c>
      <c r="CW92" s="3">
        <f>CV92*(1+$X$86)</f>
        <v>80739.966382711078</v>
      </c>
      <c r="CX92" s="3">
        <f>CW92*(1+$X$86)</f>
        <v>82354.765710365304</v>
      </c>
      <c r="CY92" s="3">
        <f>CX92*(1+$X$86)</f>
        <v>84001.861024572616</v>
      </c>
      <c r="CZ92" s="3">
        <f>CY92*(1+$X$86)</f>
        <v>85681.898245064076</v>
      </c>
      <c r="DA92" s="3">
        <f>CZ92*(1+$X$86)</f>
        <v>87395.536209965358</v>
      </c>
      <c r="DB92" s="3">
        <f>DA92*(1+$X$86)</f>
        <v>89143.446934164662</v>
      </c>
      <c r="DC92" s="3">
        <f>DB92*(1+$X$86)</f>
        <v>90926.315872847961</v>
      </c>
      <c r="DD92" s="3">
        <f>DC92*(1+$X$86)</f>
        <v>92744.842190304917</v>
      </c>
      <c r="DE92" s="3">
        <f>DD92*(1+$X$86)</f>
        <v>94599.739034111015</v>
      </c>
      <c r="DF92" s="3">
        <f>DE92*(1+$X$86)</f>
        <v>96491.733814793231</v>
      </c>
      <c r="DG92" s="3">
        <f>DF92*(1+$X$86)</f>
        <v>98421.5684910891</v>
      </c>
      <c r="DH92" s="3">
        <f>DG92*(1+$X$86)</f>
        <v>100389.99986091089</v>
      </c>
      <c r="DI92" s="3">
        <f>DH92*(1+$X$86)</f>
        <v>102397.7998581291</v>
      </c>
      <c r="DJ92" s="3">
        <f>DI92*(1+$X$86)</f>
        <v>104445.75585529169</v>
      </c>
    </row>
    <row r="93" spans="1:114" x14ac:dyDescent="0.2">
      <c r="N93" s="4"/>
      <c r="O93" s="4"/>
      <c r="P93" s="4"/>
    </row>
  </sheetData>
  <hyperlinks>
    <hyperlink ref="A1" location="Sheet1!A1" display="Main" xr:uid="{23B09628-C10F-428D-B1F6-3DB7F50BA868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2025-04-18T01:52:05Z</dcterms:created>
  <dcterms:modified xsi:type="dcterms:W3CDTF">2025-05-11T05:40:55Z</dcterms:modified>
</cp:coreProperties>
</file>